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pivotTables/pivotTable1.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D:\AA Secretaria General 2024\SERVIASEAMOS\PAGO JULIO 2024\"/>
    </mc:Choice>
  </mc:AlternateContent>
  <bookViews>
    <workbookView xWindow="0" yWindow="0" windowWidth="15720" windowHeight="10500" tabRatio="839" activeTab="6"/>
  </bookViews>
  <sheets>
    <sheet name="CONTROL PERSONAL FULL" sheetId="6" r:id="rId1"/>
    <sheet name="PERSONAL" sheetId="11" r:id="rId2"/>
    <sheet name="cumplidos julio 2024" sheetId="15" r:id="rId3"/>
    <sheet name="para facturar" sheetId="12" r:id="rId4"/>
    <sheet name="supernumerarias" sheetId="14" r:id="rId5"/>
    <sheet name="INSUMOS Y MAQUINARIA" sheetId="2" r:id="rId6"/>
    <sheet name="Rubro para facturar" sheetId="16" r:id="rId7"/>
  </sheets>
  <definedNames>
    <definedName name="_xlnm._FilterDatabase" localSheetId="5" hidden="1">'INSUMOS Y MAQUINARIA'!$A$1:$BM$130</definedName>
    <definedName name="_xlnm._FilterDatabase" localSheetId="1" hidden="1">PERSONAL!$A$1:$Y$209</definedName>
  </definedNames>
  <calcPr calcId="162913"/>
  <pivotCaches>
    <pivotCache cacheId="0"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51" i="16" l="1"/>
  <c r="AA8" i="16"/>
  <c r="AA9" i="16"/>
  <c r="AA10" i="16"/>
  <c r="AA11" i="16"/>
  <c r="AA12" i="16"/>
  <c r="AA13" i="16"/>
  <c r="AA14" i="16"/>
  <c r="AA15" i="16"/>
  <c r="AA16" i="16"/>
  <c r="AA17" i="16"/>
  <c r="AA18" i="16"/>
  <c r="AA19" i="16"/>
  <c r="AA20" i="16"/>
  <c r="AA21" i="16"/>
  <c r="AA22" i="16"/>
  <c r="AA23" i="16"/>
  <c r="AA24" i="16"/>
  <c r="AA25" i="16"/>
  <c r="AA26" i="16"/>
  <c r="AA27" i="16"/>
  <c r="AA28" i="16"/>
  <c r="AA29" i="16"/>
  <c r="AA30" i="16"/>
  <c r="AA31" i="16"/>
  <c r="AA32" i="16"/>
  <c r="AA33" i="16"/>
  <c r="AA34" i="16"/>
  <c r="AA35" i="16"/>
  <c r="AA36" i="16"/>
  <c r="AA37" i="16"/>
  <c r="AA38" i="16"/>
  <c r="AA39" i="16"/>
  <c r="AA40" i="16"/>
  <c r="AA41" i="16"/>
  <c r="AA42" i="16"/>
  <c r="AA43" i="16"/>
  <c r="AA44" i="16"/>
  <c r="AA45" i="16"/>
  <c r="AA46" i="16"/>
  <c r="AA47" i="16"/>
  <c r="AA48" i="16"/>
  <c r="AA7" i="16"/>
  <c r="G7" i="12" l="1"/>
  <c r="G6" i="12"/>
  <c r="G5" i="12"/>
  <c r="G3" i="12"/>
  <c r="G2" i="12"/>
  <c r="H2" i="12"/>
  <c r="AA49" i="16" l="1"/>
  <c r="AA3" i="16"/>
  <c r="Z51" i="16"/>
  <c r="Y51" i="16"/>
  <c r="X51" i="16"/>
  <c r="W51" i="16"/>
  <c r="V51" i="16"/>
  <c r="U51" i="16"/>
  <c r="T51" i="16"/>
  <c r="S51" i="16"/>
  <c r="R51" i="16"/>
  <c r="Q51" i="16"/>
  <c r="P51" i="16"/>
  <c r="O51" i="16"/>
  <c r="N51" i="16"/>
  <c r="M51" i="16"/>
  <c r="L51" i="16"/>
  <c r="K51" i="16"/>
  <c r="J51" i="16"/>
  <c r="I51" i="16"/>
  <c r="H51" i="16"/>
  <c r="G51" i="16"/>
  <c r="F51" i="16"/>
  <c r="E51" i="16"/>
  <c r="D51" i="16"/>
  <c r="C51" i="16"/>
  <c r="B51" i="16"/>
  <c r="A51" i="16" s="1"/>
  <c r="Z50" i="16"/>
  <c r="Y50" i="16"/>
  <c r="X50" i="16"/>
  <c r="W50" i="16"/>
  <c r="V50" i="16"/>
  <c r="U50" i="16"/>
  <c r="T50" i="16"/>
  <c r="S50" i="16"/>
  <c r="R50" i="16"/>
  <c r="Q50" i="16"/>
  <c r="P50" i="16"/>
  <c r="O50" i="16"/>
  <c r="N50" i="16"/>
  <c r="M50" i="16"/>
  <c r="L50" i="16"/>
  <c r="K50" i="16"/>
  <c r="J50" i="16"/>
  <c r="I50" i="16"/>
  <c r="H50" i="16"/>
  <c r="G50" i="16"/>
  <c r="F50" i="16"/>
  <c r="E50" i="16"/>
  <c r="D50" i="16"/>
  <c r="C50" i="16"/>
  <c r="B50" i="16"/>
  <c r="Z3" i="16" l="1"/>
  <c r="Y3" i="16"/>
  <c r="X3" i="16"/>
  <c r="W3" i="16"/>
  <c r="V3" i="16"/>
  <c r="U3" i="16"/>
  <c r="T3" i="16"/>
  <c r="S3" i="16"/>
  <c r="R3" i="16"/>
  <c r="Q3" i="16"/>
  <c r="P3" i="16"/>
  <c r="O3" i="16"/>
  <c r="N3" i="16"/>
  <c r="M3" i="16"/>
  <c r="L3" i="16"/>
  <c r="K3" i="16"/>
  <c r="J3" i="16"/>
  <c r="I3" i="16"/>
  <c r="H3" i="16"/>
  <c r="G3" i="16"/>
  <c r="F3" i="16"/>
  <c r="E3" i="16"/>
  <c r="D3" i="16"/>
  <c r="C3" i="16"/>
  <c r="B3" i="16"/>
  <c r="G20" i="12"/>
  <c r="G19" i="12"/>
  <c r="G18" i="12"/>
  <c r="G17" i="12"/>
  <c r="G16" i="12"/>
  <c r="G15" i="12"/>
  <c r="G21" i="12" s="1"/>
  <c r="F21" i="12"/>
  <c r="E21" i="12"/>
  <c r="D21" i="12"/>
  <c r="G265" i="11"/>
  <c r="F265" i="11"/>
  <c r="E265" i="11"/>
  <c r="D265" i="11"/>
  <c r="G264" i="11"/>
  <c r="F264" i="11"/>
  <c r="E264" i="11"/>
  <c r="D264" i="11"/>
  <c r="G263" i="11"/>
  <c r="F263" i="11"/>
  <c r="E263" i="11"/>
  <c r="D263" i="11"/>
  <c r="G262" i="11"/>
  <c r="F262" i="11"/>
  <c r="E262" i="11"/>
  <c r="D262" i="11"/>
  <c r="G261" i="11"/>
  <c r="F261" i="11"/>
  <c r="E261" i="11"/>
  <c r="D261" i="11"/>
  <c r="G260" i="11"/>
  <c r="F260" i="11"/>
  <c r="E260" i="11"/>
  <c r="D260" i="11"/>
  <c r="G259" i="11"/>
  <c r="F259" i="11"/>
  <c r="E259" i="11"/>
  <c r="D259" i="11"/>
  <c r="G258" i="11"/>
  <c r="F258" i="11"/>
  <c r="E258" i="11"/>
  <c r="D258" i="11"/>
  <c r="G257" i="11"/>
  <c r="F257" i="11"/>
  <c r="E257" i="11"/>
  <c r="D257" i="11"/>
  <c r="G256" i="11"/>
  <c r="F256" i="11"/>
  <c r="E256" i="11"/>
  <c r="D256" i="11"/>
  <c r="G255" i="11"/>
  <c r="F255" i="11"/>
  <c r="E255" i="11"/>
  <c r="D255" i="11"/>
  <c r="G254" i="11"/>
  <c r="F254" i="11"/>
  <c r="E254" i="11"/>
  <c r="D254" i="11"/>
  <c r="G253" i="11"/>
  <c r="F253" i="11"/>
  <c r="E253" i="11"/>
  <c r="D253" i="11"/>
  <c r="G252" i="11"/>
  <c r="F252" i="11"/>
  <c r="E252" i="11"/>
  <c r="D252" i="11"/>
  <c r="G251" i="11"/>
  <c r="F251" i="11"/>
  <c r="E251" i="11"/>
  <c r="D251" i="11"/>
  <c r="G250" i="11"/>
  <c r="F250" i="11"/>
  <c r="E250" i="11"/>
  <c r="D250" i="11"/>
  <c r="G249" i="11"/>
  <c r="F249" i="11"/>
  <c r="E249" i="11"/>
  <c r="D249" i="11"/>
  <c r="G248" i="11"/>
  <c r="F248" i="11"/>
  <c r="E248" i="11"/>
  <c r="D248" i="11"/>
  <c r="G247" i="11"/>
  <c r="F247" i="11"/>
  <c r="E247" i="11"/>
  <c r="D247" i="11"/>
  <c r="G246" i="11"/>
  <c r="F246" i="11"/>
  <c r="E246" i="11"/>
  <c r="D246" i="11"/>
  <c r="G245" i="11"/>
  <c r="F245" i="11"/>
  <c r="E245" i="11"/>
  <c r="D245" i="11"/>
  <c r="G244" i="11"/>
  <c r="F244" i="11"/>
  <c r="E244" i="11"/>
  <c r="D244" i="11"/>
  <c r="G243" i="11"/>
  <c r="F243" i="11"/>
  <c r="E243" i="11"/>
  <c r="D243" i="11"/>
  <c r="G242" i="11"/>
  <c r="F242" i="11"/>
  <c r="E242" i="11"/>
  <c r="D242" i="11"/>
  <c r="G241" i="11"/>
  <c r="F241" i="11"/>
  <c r="E241" i="11"/>
  <c r="D241" i="11"/>
  <c r="C265" i="11"/>
  <c r="C264" i="11"/>
  <c r="C263" i="11"/>
  <c r="C262" i="11"/>
  <c r="C261" i="11"/>
  <c r="C260" i="11"/>
  <c r="C259" i="11"/>
  <c r="C258" i="11"/>
  <c r="C257" i="11"/>
  <c r="C256" i="11"/>
  <c r="C255" i="11"/>
  <c r="C254" i="11"/>
  <c r="C253" i="11"/>
  <c r="C252" i="11"/>
  <c r="C251" i="11"/>
  <c r="C250" i="11"/>
  <c r="C249" i="11"/>
  <c r="C248" i="11"/>
  <c r="C247" i="11"/>
  <c r="C246" i="11"/>
  <c r="C245" i="11"/>
  <c r="C244" i="11"/>
  <c r="C243" i="11"/>
  <c r="C242" i="11"/>
  <c r="C241" i="11"/>
  <c r="B242" i="11"/>
  <c r="B243" i="11"/>
  <c r="B244" i="11"/>
  <c r="B245" i="11"/>
  <c r="B246" i="11"/>
  <c r="B247" i="11"/>
  <c r="B248" i="11"/>
  <c r="B249" i="11"/>
  <c r="B250" i="11"/>
  <c r="B251" i="11"/>
  <c r="B252" i="11"/>
  <c r="B253" i="11"/>
  <c r="B254" i="11"/>
  <c r="B255" i="11"/>
  <c r="B256" i="11"/>
  <c r="B257" i="11"/>
  <c r="B258" i="11"/>
  <c r="B259" i="11"/>
  <c r="B260" i="11"/>
  <c r="B261" i="11"/>
  <c r="B262" i="11"/>
  <c r="B263" i="11"/>
  <c r="B264" i="11"/>
  <c r="B265" i="11"/>
  <c r="B241" i="11"/>
  <c r="G214" i="11"/>
  <c r="G215" i="11"/>
  <c r="G216" i="11"/>
  <c r="G217" i="11"/>
  <c r="G218" i="11"/>
  <c r="G219" i="11"/>
  <c r="G220" i="11"/>
  <c r="G221" i="11"/>
  <c r="G224" i="11"/>
  <c r="G225" i="11"/>
  <c r="G226" i="11"/>
  <c r="G227" i="11"/>
  <c r="G228" i="11"/>
  <c r="G229" i="11"/>
  <c r="G231" i="11"/>
  <c r="G232" i="11"/>
  <c r="G233" i="11"/>
  <c r="G234" i="11"/>
  <c r="G235" i="11"/>
  <c r="G236" i="11"/>
  <c r="G237" i="11"/>
  <c r="F216" i="11"/>
  <c r="F217" i="11"/>
  <c r="F218" i="11"/>
  <c r="F219" i="11"/>
  <c r="F220" i="11"/>
  <c r="F221" i="11"/>
  <c r="F222" i="11"/>
  <c r="F223" i="11"/>
  <c r="F224" i="11"/>
  <c r="F225" i="11"/>
  <c r="F226" i="11"/>
  <c r="F227" i="11"/>
  <c r="F228" i="11"/>
  <c r="F229" i="11"/>
  <c r="F232" i="11"/>
  <c r="F233" i="11"/>
  <c r="F234" i="11"/>
  <c r="F235" i="11"/>
  <c r="F236" i="11"/>
  <c r="F237" i="11"/>
  <c r="E214" i="11"/>
  <c r="E215" i="11"/>
  <c r="E216" i="11"/>
  <c r="E217" i="11"/>
  <c r="E218" i="11"/>
  <c r="E220" i="11"/>
  <c r="E221" i="11"/>
  <c r="E222" i="11"/>
  <c r="E223" i="11"/>
  <c r="E224" i="11"/>
  <c r="E225" i="11"/>
  <c r="E226" i="11"/>
  <c r="E227" i="11"/>
  <c r="E228" i="11"/>
  <c r="E229" i="11"/>
  <c r="E230" i="11"/>
  <c r="E231" i="11"/>
  <c r="E233" i="11"/>
  <c r="E234" i="11"/>
  <c r="E235" i="11"/>
  <c r="E236" i="11"/>
  <c r="E213" i="11"/>
  <c r="D214" i="11"/>
  <c r="D215" i="11"/>
  <c r="D216" i="11"/>
  <c r="D218" i="11"/>
  <c r="D219" i="11"/>
  <c r="D220" i="11"/>
  <c r="D221" i="11"/>
  <c r="D222" i="11"/>
  <c r="D223" i="11"/>
  <c r="D224" i="11"/>
  <c r="D225" i="11"/>
  <c r="D226" i="11"/>
  <c r="D227" i="11"/>
  <c r="D228" i="11"/>
  <c r="D229" i="11"/>
  <c r="D230" i="11"/>
  <c r="D231" i="11"/>
  <c r="D232" i="11"/>
  <c r="D233" i="11"/>
  <c r="D234" i="11"/>
  <c r="D235" i="11"/>
  <c r="D236" i="11"/>
  <c r="D237" i="11"/>
  <c r="B216" i="11"/>
  <c r="B224" i="11"/>
  <c r="B225" i="11"/>
  <c r="B229" i="11"/>
  <c r="B234" i="11"/>
  <c r="B236" i="11"/>
  <c r="B237" i="11"/>
  <c r="V86" i="2" l="1"/>
  <c r="U44" i="11" l="1"/>
  <c r="M44" i="11"/>
  <c r="N44" i="11" l="1"/>
  <c r="O44" i="11" s="1"/>
  <c r="P44" i="11" s="1"/>
  <c r="V44" i="11"/>
  <c r="W44" i="11" s="1"/>
  <c r="R203" i="11"/>
  <c r="S188" i="11"/>
  <c r="U196" i="11"/>
  <c r="U197" i="11"/>
  <c r="V197" i="11" s="1"/>
  <c r="W197" i="11" s="1"/>
  <c r="M197" i="11"/>
  <c r="M196" i="11"/>
  <c r="N196" i="11" s="1"/>
  <c r="O196" i="11" s="1"/>
  <c r="P196" i="11" s="1"/>
  <c r="X44" i="11" l="1"/>
  <c r="V196" i="11"/>
  <c r="W196" i="11" s="1"/>
  <c r="X197" i="11"/>
  <c r="E237" i="11" s="1"/>
  <c r="N197" i="11"/>
  <c r="O197" i="11" s="1"/>
  <c r="P197" i="11" s="1"/>
  <c r="U198" i="11"/>
  <c r="U199" i="11"/>
  <c r="V199" i="11" s="1"/>
  <c r="W199" i="11" s="1"/>
  <c r="U200" i="11"/>
  <c r="V200" i="11" s="1"/>
  <c r="W200" i="11" s="1"/>
  <c r="U201" i="11"/>
  <c r="V201" i="11" s="1"/>
  <c r="W201" i="11" s="1"/>
  <c r="U202" i="11"/>
  <c r="V202" i="11" s="1"/>
  <c r="W202" i="11" s="1"/>
  <c r="U203" i="11"/>
  <c r="U204" i="11"/>
  <c r="V204" i="11" s="1"/>
  <c r="W204" i="11" s="1"/>
  <c r="X204" i="11" s="1"/>
  <c r="U205" i="11"/>
  <c r="V205" i="11" s="1"/>
  <c r="W205" i="11" s="1"/>
  <c r="U206" i="11"/>
  <c r="U207" i="11"/>
  <c r="V207" i="11" s="1"/>
  <c r="W207" i="11" s="1"/>
  <c r="U208" i="11"/>
  <c r="U179" i="11"/>
  <c r="V179" i="11" s="1"/>
  <c r="U171" i="11"/>
  <c r="U164" i="11"/>
  <c r="U158" i="11"/>
  <c r="V158" i="11" s="1"/>
  <c r="U111" i="11"/>
  <c r="V111" i="11" s="1"/>
  <c r="W111" i="11" s="1"/>
  <c r="U100" i="11"/>
  <c r="U86" i="11"/>
  <c r="V86" i="11" s="1"/>
  <c r="U36" i="11"/>
  <c r="V36" i="11" s="1"/>
  <c r="U31" i="11"/>
  <c r="M202" i="11"/>
  <c r="M200" i="11"/>
  <c r="M199" i="11"/>
  <c r="M198" i="11"/>
  <c r="M179" i="11"/>
  <c r="M171" i="11"/>
  <c r="N171" i="11" s="1"/>
  <c r="M164" i="11"/>
  <c r="M36" i="11"/>
  <c r="V100" i="11" l="1"/>
  <c r="W100" i="11" s="1"/>
  <c r="X100" i="11" s="1"/>
  <c r="E219" i="11" s="1"/>
  <c r="X196" i="11"/>
  <c r="Y196" i="11" s="1"/>
  <c r="V198" i="11"/>
  <c r="W198" i="11" s="1"/>
  <c r="Y197" i="11"/>
  <c r="V206" i="11"/>
  <c r="W206" i="11" s="1"/>
  <c r="X205" i="11"/>
  <c r="W86" i="11"/>
  <c r="X86" i="11" s="1"/>
  <c r="W36" i="11"/>
  <c r="X36" i="11" s="1"/>
  <c r="W179" i="11"/>
  <c r="X179" i="11" s="1"/>
  <c r="V171" i="11"/>
  <c r="W171" i="11" s="1"/>
  <c r="X202" i="11"/>
  <c r="V203" i="11"/>
  <c r="W203" i="11" s="1"/>
  <c r="X201" i="11"/>
  <c r="X200" i="11"/>
  <c r="X111" i="11"/>
  <c r="V164" i="11"/>
  <c r="W164" i="11" s="1"/>
  <c r="X207" i="11"/>
  <c r="X199" i="11"/>
  <c r="W158" i="11"/>
  <c r="X158" i="11" s="1"/>
  <c r="V31" i="11"/>
  <c r="W31" i="11" s="1"/>
  <c r="V208" i="11"/>
  <c r="W208" i="11" s="1"/>
  <c r="N202" i="11"/>
  <c r="O202" i="11" s="1"/>
  <c r="P202" i="11" s="1"/>
  <c r="N200" i="11"/>
  <c r="O200" i="11" s="1"/>
  <c r="P200" i="11" s="1"/>
  <c r="N199" i="11"/>
  <c r="O199" i="11" s="1"/>
  <c r="P199" i="11" s="1"/>
  <c r="N198" i="11"/>
  <c r="O198" i="11" s="1"/>
  <c r="P198" i="11" s="1"/>
  <c r="N179" i="11"/>
  <c r="O179" i="11" s="1"/>
  <c r="P179" i="11" s="1"/>
  <c r="O171" i="11"/>
  <c r="P171" i="11" s="1"/>
  <c r="N164" i="11"/>
  <c r="O164" i="11" s="1"/>
  <c r="P164" i="11" s="1"/>
  <c r="N36" i="11"/>
  <c r="O36" i="11" s="1"/>
  <c r="P36" i="11" s="1"/>
  <c r="M111" i="11"/>
  <c r="M86" i="11"/>
  <c r="X31" i="11" l="1"/>
  <c r="X198" i="11"/>
  <c r="Y198" i="11" s="1"/>
  <c r="Y199" i="11"/>
  <c r="Y200" i="11"/>
  <c r="X164" i="11"/>
  <c r="Y36" i="11"/>
  <c r="Y179" i="11"/>
  <c r="X206" i="11"/>
  <c r="X208" i="11"/>
  <c r="Y202" i="11"/>
  <c r="X203" i="11"/>
  <c r="X171" i="11"/>
  <c r="Y171" i="11" s="1"/>
  <c r="N111" i="11"/>
  <c r="O111" i="11" s="1"/>
  <c r="P111" i="11" s="1"/>
  <c r="Y111" i="11" s="1"/>
  <c r="N86" i="11"/>
  <c r="O86" i="11" s="1"/>
  <c r="P86" i="11" s="1"/>
  <c r="Y86" i="11" s="1"/>
  <c r="Y164" i="11" l="1"/>
  <c r="F230" i="11"/>
  <c r="M100" i="11"/>
  <c r="N100" i="11" s="1"/>
  <c r="O100" i="11" l="1"/>
  <c r="R31" i="11"/>
  <c r="M31" i="11"/>
  <c r="U181" i="11"/>
  <c r="M158" i="11"/>
  <c r="N158" i="11" s="1"/>
  <c r="V181" i="11" l="1"/>
  <c r="W181" i="11" s="1"/>
  <c r="D7" i="12"/>
  <c r="P100" i="11"/>
  <c r="Y100" i="11" s="1"/>
  <c r="N31" i="11"/>
  <c r="O31" i="11" s="1"/>
  <c r="P31" i="11" s="1"/>
  <c r="Y31" i="11" s="1"/>
  <c r="X181" i="11"/>
  <c r="E232" i="11" s="1"/>
  <c r="O158" i="11"/>
  <c r="P158" i="11" s="1"/>
  <c r="Y158" i="11" s="1"/>
  <c r="R99" i="11"/>
  <c r="R198" i="11"/>
  <c r="R74" i="11"/>
  <c r="R180" i="11"/>
  <c r="R191" i="11"/>
  <c r="R165" i="11"/>
  <c r="R59" i="11"/>
  <c r="R129" i="11"/>
  <c r="R202" i="11"/>
  <c r="R127" i="11"/>
  <c r="R27" i="11"/>
  <c r="R63" i="11"/>
  <c r="R45" i="11"/>
  <c r="R201" i="11"/>
  <c r="R184" i="11"/>
  <c r="R195" i="11"/>
  <c r="R61" i="11"/>
  <c r="R188" i="11"/>
  <c r="R145" i="11"/>
  <c r="R22" i="11"/>
  <c r="R12" i="11"/>
  <c r="R64" i="11"/>
  <c r="R18" i="11"/>
  <c r="R90" i="11"/>
  <c r="R21" i="11"/>
  <c r="R26" i="11"/>
  <c r="D28" i="12" l="1"/>
  <c r="J4" i="2"/>
  <c r="BN4" i="2" s="1"/>
  <c r="J6" i="2"/>
  <c r="BN6" i="2" s="1"/>
  <c r="J7" i="2"/>
  <c r="BN7" i="2" s="1"/>
  <c r="J8" i="2"/>
  <c r="BN8" i="2" s="1"/>
  <c r="J9" i="2"/>
  <c r="BN9" i="2" s="1"/>
  <c r="J10" i="2"/>
  <c r="BN10" i="2" s="1"/>
  <c r="J11" i="2"/>
  <c r="BN11" i="2" s="1"/>
  <c r="J12" i="2"/>
  <c r="BN12" i="2" s="1"/>
  <c r="J13" i="2"/>
  <c r="BN13" i="2" s="1"/>
  <c r="J16" i="2"/>
  <c r="BN16" i="2" s="1"/>
  <c r="J17" i="2"/>
  <c r="BN17" i="2" s="1"/>
  <c r="J18" i="2"/>
  <c r="BN18" i="2" s="1"/>
  <c r="J19" i="2"/>
  <c r="BN19" i="2" s="1"/>
  <c r="J20" i="2"/>
  <c r="BN20" i="2" s="1"/>
  <c r="J21" i="2"/>
  <c r="BN21" i="2" s="1"/>
  <c r="J22" i="2"/>
  <c r="BN22" i="2" s="1"/>
  <c r="J24" i="2"/>
  <c r="BN24" i="2" s="1"/>
  <c r="J25" i="2"/>
  <c r="BN25" i="2" s="1"/>
  <c r="J26" i="2"/>
  <c r="BN26" i="2" s="1"/>
  <c r="J27" i="2"/>
  <c r="BN27" i="2" s="1"/>
  <c r="J28" i="2"/>
  <c r="BN28" i="2" s="1"/>
  <c r="J29" i="2"/>
  <c r="BN29" i="2" s="1"/>
  <c r="J30" i="2"/>
  <c r="BN30" i="2" s="1"/>
  <c r="J31" i="2"/>
  <c r="BN31" i="2" s="1"/>
  <c r="J32" i="2"/>
  <c r="BN32" i="2" s="1"/>
  <c r="J33" i="2"/>
  <c r="BN33" i="2" s="1"/>
  <c r="J34" i="2"/>
  <c r="BN34" i="2" s="1"/>
  <c r="J35" i="2"/>
  <c r="BN35" i="2" s="1"/>
  <c r="J36" i="2"/>
  <c r="BN36" i="2" s="1"/>
  <c r="J37" i="2"/>
  <c r="BN37" i="2" s="1"/>
  <c r="J38" i="2"/>
  <c r="BN38" i="2" s="1"/>
  <c r="J39" i="2"/>
  <c r="BN39" i="2" s="1"/>
  <c r="J40" i="2"/>
  <c r="BN40" i="2" s="1"/>
  <c r="J41" i="2"/>
  <c r="BN41" i="2" s="1"/>
  <c r="J42" i="2"/>
  <c r="BN42" i="2" s="1"/>
  <c r="J43" i="2"/>
  <c r="BN43" i="2" s="1"/>
  <c r="J44" i="2"/>
  <c r="BN44" i="2" s="1"/>
  <c r="J45" i="2"/>
  <c r="BN45" i="2" s="1"/>
  <c r="J46" i="2"/>
  <c r="BN46" i="2" s="1"/>
  <c r="J47" i="2"/>
  <c r="BN47" i="2" s="1"/>
  <c r="J48" i="2"/>
  <c r="BN48" i="2" s="1"/>
  <c r="J49" i="2"/>
  <c r="BN49" i="2" s="1"/>
  <c r="J50" i="2"/>
  <c r="BN50" i="2" s="1"/>
  <c r="J51" i="2"/>
  <c r="BN51" i="2" s="1"/>
  <c r="J52" i="2"/>
  <c r="BN52" i="2" s="1"/>
  <c r="J53" i="2"/>
  <c r="BN53" i="2" s="1"/>
  <c r="J54" i="2"/>
  <c r="BN54" i="2" s="1"/>
  <c r="J55" i="2"/>
  <c r="BN55" i="2" s="1"/>
  <c r="J56" i="2"/>
  <c r="BN56" i="2" s="1"/>
  <c r="J57" i="2"/>
  <c r="BN57" i="2" s="1"/>
  <c r="J58" i="2"/>
  <c r="BN58" i="2" s="1"/>
  <c r="J59" i="2"/>
  <c r="BN59" i="2" s="1"/>
  <c r="J60" i="2"/>
  <c r="BN60" i="2" s="1"/>
  <c r="J61" i="2"/>
  <c r="BN61" i="2" s="1"/>
  <c r="J62" i="2"/>
  <c r="BN62" i="2" s="1"/>
  <c r="J63" i="2"/>
  <c r="BN63" i="2" s="1"/>
  <c r="J64" i="2"/>
  <c r="BN64" i="2" s="1"/>
  <c r="J65" i="2"/>
  <c r="BN65" i="2" s="1"/>
  <c r="J68" i="2"/>
  <c r="BN68" i="2" s="1"/>
  <c r="J69" i="2"/>
  <c r="BN69" i="2" s="1"/>
  <c r="J70" i="2"/>
  <c r="BN70" i="2" s="1"/>
  <c r="J71" i="2"/>
  <c r="BN71" i="2" s="1"/>
  <c r="J73" i="2"/>
  <c r="BN73" i="2" s="1"/>
  <c r="J74" i="2"/>
  <c r="BN74" i="2" s="1"/>
  <c r="J75" i="2"/>
  <c r="BN75" i="2" s="1"/>
  <c r="J76" i="2"/>
  <c r="BN76" i="2" s="1"/>
  <c r="J77" i="2"/>
  <c r="BN77" i="2" s="1"/>
  <c r="J78" i="2"/>
  <c r="BN78" i="2" s="1"/>
  <c r="J80" i="2"/>
  <c r="BN80" i="2" s="1"/>
  <c r="J82" i="2"/>
  <c r="BN82" i="2" s="1"/>
  <c r="J83" i="2"/>
  <c r="BN83" i="2" s="1"/>
  <c r="J84" i="2"/>
  <c r="BN84" i="2" s="1"/>
  <c r="J85" i="2"/>
  <c r="BN85" i="2" s="1"/>
  <c r="J86" i="2"/>
  <c r="BN86" i="2" s="1"/>
  <c r="J87" i="2"/>
  <c r="BN87" i="2" s="1"/>
  <c r="J88" i="2"/>
  <c r="BN88" i="2" s="1"/>
  <c r="J89" i="2"/>
  <c r="BN89" i="2" s="1"/>
  <c r="J90" i="2"/>
  <c r="BN90" i="2" s="1"/>
  <c r="J91" i="2"/>
  <c r="BN91" i="2" s="1"/>
  <c r="J92" i="2"/>
  <c r="BN92" i="2" s="1"/>
  <c r="J93" i="2"/>
  <c r="BN93" i="2" s="1"/>
  <c r="J94" i="2"/>
  <c r="BN94" i="2" s="1"/>
  <c r="J95" i="2"/>
  <c r="BN95" i="2" s="1"/>
  <c r="J96" i="2"/>
  <c r="BN96" i="2" s="1"/>
  <c r="J97" i="2"/>
  <c r="BN97" i="2" s="1"/>
  <c r="J98" i="2"/>
  <c r="BN98" i="2" s="1"/>
  <c r="J99" i="2"/>
  <c r="BN99" i="2" s="1"/>
  <c r="J100" i="2"/>
  <c r="BN100" i="2" s="1"/>
  <c r="J101" i="2"/>
  <c r="BN101" i="2" s="1"/>
  <c r="J102" i="2"/>
  <c r="BN102" i="2" s="1"/>
  <c r="J103" i="2"/>
  <c r="BN103" i="2" s="1"/>
  <c r="J104" i="2"/>
  <c r="BN104" i="2" s="1"/>
  <c r="J105" i="2"/>
  <c r="BN105" i="2" s="1"/>
  <c r="J106" i="2"/>
  <c r="BN106" i="2" s="1"/>
  <c r="J107" i="2"/>
  <c r="BN107" i="2" s="1"/>
  <c r="J108" i="2"/>
  <c r="BN108" i="2" s="1"/>
  <c r="J109" i="2"/>
  <c r="BN109" i="2" s="1"/>
  <c r="J110" i="2"/>
  <c r="BN110" i="2" s="1"/>
  <c r="J111" i="2"/>
  <c r="BN111" i="2" s="1"/>
  <c r="J112" i="2"/>
  <c r="BN112" i="2" s="1"/>
  <c r="J113" i="2"/>
  <c r="BN113" i="2" s="1"/>
  <c r="J114" i="2"/>
  <c r="BN114" i="2" s="1"/>
  <c r="J115" i="2"/>
  <c r="BN115" i="2" s="1"/>
  <c r="J116" i="2"/>
  <c r="BN116" i="2" s="1"/>
  <c r="J117" i="2"/>
  <c r="BN117" i="2" s="1"/>
  <c r="J118" i="2"/>
  <c r="BN118" i="2" s="1"/>
  <c r="J119" i="2"/>
  <c r="BN119" i="2" s="1"/>
  <c r="J120" i="2"/>
  <c r="BN120" i="2" s="1"/>
  <c r="J121" i="2"/>
  <c r="BN121" i="2" s="1"/>
  <c r="J122" i="2"/>
  <c r="BN122" i="2" s="1"/>
  <c r="J123" i="2"/>
  <c r="BN123" i="2" s="1"/>
  <c r="J124" i="2"/>
  <c r="BN124" i="2" s="1"/>
  <c r="J125" i="2"/>
  <c r="BN125" i="2" s="1"/>
  <c r="J126" i="2"/>
  <c r="BN126" i="2" s="1"/>
  <c r="J127" i="2"/>
  <c r="BN127" i="2" s="1"/>
  <c r="J128" i="2"/>
  <c r="BN128" i="2" s="1"/>
  <c r="J129" i="2"/>
  <c r="BN129" i="2" s="1"/>
  <c r="J130" i="2"/>
  <c r="BN130" i="2" s="1"/>
  <c r="H245" i="11" l="1"/>
  <c r="H248" i="11"/>
  <c r="H249" i="11"/>
  <c r="H253" i="11"/>
  <c r="H256" i="11"/>
  <c r="H257" i="11"/>
  <c r="H261" i="11"/>
  <c r="H264" i="11"/>
  <c r="H265" i="11"/>
  <c r="H242" i="11"/>
  <c r="H243" i="11"/>
  <c r="H244" i="11"/>
  <c r="H246" i="11"/>
  <c r="H247" i="11"/>
  <c r="H250" i="11"/>
  <c r="H251" i="11"/>
  <c r="H252" i="11"/>
  <c r="H254" i="11"/>
  <c r="H255" i="11"/>
  <c r="H258" i="11"/>
  <c r="H259" i="11"/>
  <c r="H260" i="11"/>
  <c r="H262" i="11"/>
  <c r="H263" i="11"/>
  <c r="B266" i="11"/>
  <c r="C266" i="11"/>
  <c r="D266" i="11"/>
  <c r="E266" i="11"/>
  <c r="F266" i="11"/>
  <c r="G266" i="11"/>
  <c r="H241" i="11"/>
  <c r="F78" i="2"/>
  <c r="G78" i="2" s="1"/>
  <c r="F61" i="2"/>
  <c r="F59" i="2"/>
  <c r="H266" i="11" l="1"/>
  <c r="J3" i="2"/>
  <c r="BN3" i="2" s="1"/>
  <c r="J15" i="2"/>
  <c r="BN15" i="2" s="1"/>
  <c r="J5" i="2"/>
  <c r="BN5" i="2" s="1"/>
  <c r="J14" i="2"/>
  <c r="BN14" i="2" s="1"/>
  <c r="J67" i="2"/>
  <c r="BN67" i="2" s="1"/>
  <c r="J79" i="2"/>
  <c r="BN79" i="2" s="1"/>
  <c r="J81" i="2"/>
  <c r="BN81" i="2" s="1"/>
  <c r="J23" i="2"/>
  <c r="BN23" i="2" s="1"/>
  <c r="J66" i="2"/>
  <c r="BN66" i="2" s="1"/>
  <c r="H78" i="2"/>
  <c r="G61" i="2"/>
  <c r="H61" i="2" s="1"/>
  <c r="G59" i="2"/>
  <c r="H59" i="2" s="1"/>
  <c r="AU61" i="2" l="1"/>
  <c r="BE61" i="2"/>
  <c r="AS61" i="2"/>
  <c r="AR61" i="2"/>
  <c r="BH61" i="2"/>
  <c r="AL61" i="2"/>
  <c r="AV61" i="2"/>
  <c r="AQ61" i="2"/>
  <c r="AO61" i="2"/>
  <c r="BD61" i="2"/>
  <c r="BC61" i="2"/>
  <c r="AN61" i="2"/>
  <c r="AK61" i="2"/>
  <c r="BI61" i="2"/>
  <c r="BB61" i="2"/>
  <c r="AM61" i="2"/>
  <c r="BG61" i="2"/>
  <c r="AX61" i="2"/>
  <c r="BA61" i="2"/>
  <c r="BF61" i="2"/>
  <c r="AZ61" i="2"/>
  <c r="AY61" i="2"/>
  <c r="AT61" i="2"/>
  <c r="AP61" i="2"/>
  <c r="AW61" i="2"/>
  <c r="AT59" i="2"/>
  <c r="BA59" i="2"/>
  <c r="AZ59" i="2"/>
  <c r="AS59" i="2"/>
  <c r="AU59" i="2"/>
  <c r="AQ59" i="2"/>
  <c r="AO59" i="2"/>
  <c r="AW59" i="2"/>
  <c r="AV59" i="2"/>
  <c r="BI59" i="2"/>
  <c r="BD59" i="2"/>
  <c r="BC59" i="2"/>
  <c r="BB59" i="2"/>
  <c r="AY59" i="2"/>
  <c r="AM59" i="2"/>
  <c r="BH59" i="2"/>
  <c r="BE59" i="2"/>
  <c r="AP59" i="2"/>
  <c r="AN59" i="2"/>
  <c r="AK59" i="2"/>
  <c r="BG59" i="2"/>
  <c r="BF59" i="2"/>
  <c r="AL59" i="2"/>
  <c r="AX59" i="2"/>
  <c r="AR59" i="2"/>
  <c r="AX78" i="2"/>
  <c r="AS78" i="2"/>
  <c r="AU78" i="2"/>
  <c r="AN78" i="2"/>
  <c r="BF78" i="2"/>
  <c r="BI78" i="2"/>
  <c r="BH78" i="2"/>
  <c r="BA78" i="2"/>
  <c r="BB78" i="2"/>
  <c r="AY78" i="2"/>
  <c r="AV78" i="2"/>
  <c r="AM78" i="2"/>
  <c r="AL78" i="2"/>
  <c r="BE78" i="2"/>
  <c r="AZ78" i="2"/>
  <c r="AW78" i="2"/>
  <c r="AT78" i="2"/>
  <c r="AR78" i="2"/>
  <c r="BD78" i="2"/>
  <c r="BC78" i="2"/>
  <c r="AQ78" i="2"/>
  <c r="AP78" i="2"/>
  <c r="AO78" i="2"/>
  <c r="BG78" i="2"/>
  <c r="AK78" i="2"/>
  <c r="J72" i="2"/>
  <c r="BN72" i="2" s="1"/>
  <c r="R208" i="11"/>
  <c r="BM78" i="2" l="1"/>
  <c r="BM61" i="2"/>
  <c r="BM59" i="2"/>
  <c r="U50" i="11"/>
  <c r="M50" i="11"/>
  <c r="N50" i="11" s="1"/>
  <c r="O50" i="11" s="1"/>
  <c r="P50" i="11" s="1"/>
  <c r="U49" i="11"/>
  <c r="M49" i="11"/>
  <c r="M181" i="11"/>
  <c r="U170" i="11"/>
  <c r="M170" i="11"/>
  <c r="N170" i="11" s="1"/>
  <c r="O170" i="11" s="1"/>
  <c r="P170" i="11" s="1"/>
  <c r="U106" i="11"/>
  <c r="M106" i="11"/>
  <c r="V49" i="11" l="1"/>
  <c r="W49" i="11" s="1"/>
  <c r="V50" i="11"/>
  <c r="W50" i="11" s="1"/>
  <c r="V106" i="11"/>
  <c r="W106" i="11" s="1"/>
  <c r="V170" i="11"/>
  <c r="W170" i="11" s="1"/>
  <c r="N49" i="11"/>
  <c r="O49" i="11" s="1"/>
  <c r="P49" i="11" s="1"/>
  <c r="N181" i="11"/>
  <c r="O181" i="11" s="1"/>
  <c r="P181" i="11" s="1"/>
  <c r="Y181" i="11" s="1"/>
  <c r="N106" i="11"/>
  <c r="O106" i="11" s="1"/>
  <c r="P106" i="11" s="1"/>
  <c r="U105" i="11"/>
  <c r="M105" i="11"/>
  <c r="U97" i="11"/>
  <c r="M97" i="11"/>
  <c r="N97" i="11" s="1"/>
  <c r="O97" i="11" s="1"/>
  <c r="P97" i="11" s="1"/>
  <c r="U93" i="11"/>
  <c r="M93" i="11"/>
  <c r="U8" i="11"/>
  <c r="M8" i="11"/>
  <c r="U148" i="11"/>
  <c r="M148" i="11"/>
  <c r="N148" i="11" s="1"/>
  <c r="O148" i="11" s="1"/>
  <c r="P148" i="11" s="1"/>
  <c r="U7" i="11"/>
  <c r="M7" i="11"/>
  <c r="X106" i="11" l="1"/>
  <c r="Y106" i="11" s="1"/>
  <c r="V148" i="11"/>
  <c r="W148" i="11" s="1"/>
  <c r="X170" i="11"/>
  <c r="X50" i="11"/>
  <c r="Y50" i="11" s="1"/>
  <c r="V8" i="11"/>
  <c r="W8" i="11" s="1"/>
  <c r="X8" i="11" s="1"/>
  <c r="X49" i="11"/>
  <c r="Y49" i="11" s="1"/>
  <c r="V105" i="11"/>
  <c r="V97" i="11"/>
  <c r="W97" i="11" s="1"/>
  <c r="V7" i="11"/>
  <c r="V93" i="11"/>
  <c r="W93" i="11" s="1"/>
  <c r="N105" i="11"/>
  <c r="O105" i="11" s="1"/>
  <c r="P105" i="11" s="1"/>
  <c r="N93" i="11"/>
  <c r="O93" i="11" s="1"/>
  <c r="P93" i="11" s="1"/>
  <c r="N8" i="11"/>
  <c r="O8" i="11" s="1"/>
  <c r="P8" i="11" s="1"/>
  <c r="N7" i="11"/>
  <c r="O7" i="11" s="1"/>
  <c r="P7" i="11" s="1"/>
  <c r="U73" i="11"/>
  <c r="U4" i="11"/>
  <c r="U5" i="11"/>
  <c r="U6" i="11"/>
  <c r="U10" i="11"/>
  <c r="U11" i="11"/>
  <c r="U12" i="11"/>
  <c r="U13" i="11"/>
  <c r="U14" i="11"/>
  <c r="U15" i="11"/>
  <c r="U16" i="11"/>
  <c r="U17" i="11"/>
  <c r="U18" i="11"/>
  <c r="U19" i="11"/>
  <c r="U20" i="11"/>
  <c r="U21" i="11"/>
  <c r="U22" i="11"/>
  <c r="U23" i="11"/>
  <c r="U24" i="11"/>
  <c r="D6" i="12" s="1"/>
  <c r="U25" i="11"/>
  <c r="U26" i="11"/>
  <c r="U60" i="11"/>
  <c r="U28" i="11"/>
  <c r="U29" i="11"/>
  <c r="U32" i="11"/>
  <c r="U33" i="11"/>
  <c r="U34" i="11"/>
  <c r="U35" i="11"/>
  <c r="U37" i="11"/>
  <c r="U39" i="11"/>
  <c r="U40" i="11"/>
  <c r="U41" i="11"/>
  <c r="U42" i="11"/>
  <c r="U43" i="11"/>
  <c r="U45" i="11"/>
  <c r="U30" i="11"/>
  <c r="U85" i="11"/>
  <c r="U46" i="11"/>
  <c r="U59" i="11"/>
  <c r="U47" i="11"/>
  <c r="U48" i="11"/>
  <c r="U51" i="11"/>
  <c r="U9" i="11"/>
  <c r="D4" i="12" s="1"/>
  <c r="U52" i="11"/>
  <c r="U53" i="11"/>
  <c r="U54" i="11"/>
  <c r="U55" i="11"/>
  <c r="U56" i="11"/>
  <c r="U57" i="11"/>
  <c r="U58" i="11"/>
  <c r="U27" i="11"/>
  <c r="U61" i="11"/>
  <c r="U62" i="11"/>
  <c r="U63" i="11"/>
  <c r="U64" i="11"/>
  <c r="U65" i="11"/>
  <c r="U66" i="11"/>
  <c r="U67" i="11"/>
  <c r="U68" i="11"/>
  <c r="U69" i="11"/>
  <c r="U70" i="11"/>
  <c r="U71" i="11"/>
  <c r="U72" i="11"/>
  <c r="U3" i="11"/>
  <c r="U74" i="11"/>
  <c r="U191" i="11"/>
  <c r="U76" i="11"/>
  <c r="U77" i="11"/>
  <c r="U78" i="11"/>
  <c r="U79" i="11"/>
  <c r="U80" i="11"/>
  <c r="U81" i="11"/>
  <c r="U82" i="11"/>
  <c r="U83" i="11"/>
  <c r="U84" i="11"/>
  <c r="U38" i="11"/>
  <c r="U87" i="11"/>
  <c r="U88" i="11"/>
  <c r="U89" i="11"/>
  <c r="U90" i="11"/>
  <c r="U91" i="11"/>
  <c r="U92" i="11"/>
  <c r="U94" i="11"/>
  <c r="U95" i="11"/>
  <c r="U96" i="11"/>
  <c r="U98" i="11"/>
  <c r="U75" i="11"/>
  <c r="U101" i="11"/>
  <c r="U102" i="11"/>
  <c r="U103" i="11"/>
  <c r="U104" i="11"/>
  <c r="U107" i="11"/>
  <c r="U108" i="11"/>
  <c r="U109" i="11"/>
  <c r="U110" i="11"/>
  <c r="U112" i="11"/>
  <c r="U99" i="11"/>
  <c r="U114" i="11"/>
  <c r="U115" i="11"/>
  <c r="U116" i="11"/>
  <c r="U117" i="11"/>
  <c r="U118" i="11"/>
  <c r="U119" i="11"/>
  <c r="U120" i="11"/>
  <c r="U121" i="11"/>
  <c r="U122" i="11"/>
  <c r="U123" i="11"/>
  <c r="U124" i="11"/>
  <c r="U125" i="11"/>
  <c r="U126" i="11"/>
  <c r="U127" i="11"/>
  <c r="U128" i="11"/>
  <c r="U129" i="11"/>
  <c r="U130" i="11"/>
  <c r="U131" i="11"/>
  <c r="U132" i="11"/>
  <c r="U133" i="11"/>
  <c r="U134" i="11"/>
  <c r="U135" i="11"/>
  <c r="U136" i="11"/>
  <c r="U137" i="11"/>
  <c r="U138" i="11"/>
  <c r="U139" i="11"/>
  <c r="U140" i="11"/>
  <c r="U141" i="11"/>
  <c r="U142" i="11"/>
  <c r="U143" i="11"/>
  <c r="U144" i="11"/>
  <c r="U145" i="11"/>
  <c r="U146" i="11"/>
  <c r="U147" i="11"/>
  <c r="U149" i="11"/>
  <c r="U150" i="11"/>
  <c r="U151" i="11"/>
  <c r="U152" i="11"/>
  <c r="U153" i="11"/>
  <c r="U154" i="11"/>
  <c r="U155" i="11"/>
  <c r="U156" i="11"/>
  <c r="U157" i="11"/>
  <c r="U159" i="11"/>
  <c r="U160" i="11"/>
  <c r="U161" i="11"/>
  <c r="U162" i="11"/>
  <c r="U163" i="11"/>
  <c r="U165" i="11"/>
  <c r="U166" i="11"/>
  <c r="U167" i="11"/>
  <c r="U168" i="11"/>
  <c r="U169" i="11"/>
  <c r="U172" i="11"/>
  <c r="U173" i="11"/>
  <c r="U174" i="11"/>
  <c r="U175" i="11"/>
  <c r="U176" i="11"/>
  <c r="U177" i="11"/>
  <c r="U178" i="11"/>
  <c r="U180" i="11"/>
  <c r="U182" i="11"/>
  <c r="U183" i="11"/>
  <c r="U184" i="11"/>
  <c r="U185" i="11"/>
  <c r="U186" i="11"/>
  <c r="U187" i="11"/>
  <c r="U113" i="11"/>
  <c r="U188" i="11"/>
  <c r="U189" i="11"/>
  <c r="U190" i="11"/>
  <c r="U192" i="11"/>
  <c r="U193" i="11"/>
  <c r="U194" i="11"/>
  <c r="U195" i="11"/>
  <c r="U2" i="11"/>
  <c r="R79" i="11"/>
  <c r="D25" i="12" l="1"/>
  <c r="D27" i="12"/>
  <c r="Y170" i="11"/>
  <c r="U210" i="11"/>
  <c r="D2" i="12"/>
  <c r="D5" i="12"/>
  <c r="D3" i="12"/>
  <c r="U209" i="11"/>
  <c r="Y8" i="11"/>
  <c r="X97" i="11"/>
  <c r="Y97" i="11" s="1"/>
  <c r="X93" i="11"/>
  <c r="V183" i="11"/>
  <c r="W183" i="11" s="1"/>
  <c r="V146" i="11"/>
  <c r="W146" i="11" s="1"/>
  <c r="V185" i="11"/>
  <c r="W185" i="11" s="1"/>
  <c r="V166" i="11"/>
  <c r="W166" i="11" s="1"/>
  <c r="V140" i="11"/>
  <c r="W140" i="11" s="1"/>
  <c r="V116" i="11"/>
  <c r="W116" i="11" s="1"/>
  <c r="V67" i="11"/>
  <c r="W67" i="11" s="1"/>
  <c r="V43" i="11"/>
  <c r="W43" i="11" s="1"/>
  <c r="V192" i="11"/>
  <c r="W192" i="11" s="1"/>
  <c r="V156" i="11"/>
  <c r="W156" i="11" s="1"/>
  <c r="V139" i="11"/>
  <c r="W139" i="11" s="1"/>
  <c r="V115" i="11"/>
  <c r="W115" i="11" s="1"/>
  <c r="V96" i="11"/>
  <c r="W96" i="11" s="1"/>
  <c r="V66" i="11"/>
  <c r="W66" i="11" s="1"/>
  <c r="V42" i="11"/>
  <c r="V6" i="11"/>
  <c r="V173" i="11"/>
  <c r="W173" i="11" s="1"/>
  <c r="V130" i="11"/>
  <c r="W130" i="11" s="1"/>
  <c r="V114" i="11"/>
  <c r="W114" i="11" s="1"/>
  <c r="V89" i="11"/>
  <c r="W89" i="11" s="1"/>
  <c r="V56" i="11"/>
  <c r="W56" i="11" s="1"/>
  <c r="V32" i="11"/>
  <c r="W32" i="11" s="1"/>
  <c r="V14" i="11"/>
  <c r="V172" i="11"/>
  <c r="W172" i="11" s="1"/>
  <c r="V145" i="11"/>
  <c r="W145" i="11" s="1"/>
  <c r="V129" i="11"/>
  <c r="W129" i="11" s="1"/>
  <c r="V99" i="11"/>
  <c r="W99" i="11" s="1"/>
  <c r="V4" i="11"/>
  <c r="V2" i="11"/>
  <c r="V153" i="11"/>
  <c r="W153" i="11" s="1"/>
  <c r="V128" i="11"/>
  <c r="W128" i="11" s="1"/>
  <c r="V103" i="11"/>
  <c r="W103" i="11" s="1"/>
  <c r="V79" i="11"/>
  <c r="W79" i="11" s="1"/>
  <c r="V54" i="11"/>
  <c r="W54" i="11" s="1"/>
  <c r="V28" i="11"/>
  <c r="W28" i="11" s="1"/>
  <c r="V73" i="11"/>
  <c r="W73" i="11" s="1"/>
  <c r="V169" i="11"/>
  <c r="W169" i="11" s="1"/>
  <c r="V152" i="11"/>
  <c r="W152" i="11" s="1"/>
  <c r="V143" i="11"/>
  <c r="W143" i="11" s="1"/>
  <c r="V135" i="11"/>
  <c r="W135" i="11" s="1"/>
  <c r="V127" i="11"/>
  <c r="W127" i="11" s="1"/>
  <c r="V119" i="11"/>
  <c r="W119" i="11" s="1"/>
  <c r="V110" i="11"/>
  <c r="W110" i="11" s="1"/>
  <c r="V102" i="11"/>
  <c r="W102" i="11" s="1"/>
  <c r="V38" i="11"/>
  <c r="W38" i="11" s="1"/>
  <c r="V78" i="11"/>
  <c r="V70" i="11"/>
  <c r="W70" i="11" s="1"/>
  <c r="V62" i="11"/>
  <c r="V53" i="11"/>
  <c r="W53" i="11" s="1"/>
  <c r="V85" i="11"/>
  <c r="W85" i="11" s="1"/>
  <c r="V37" i="11"/>
  <c r="W37" i="11" s="1"/>
  <c r="V60" i="11"/>
  <c r="W60" i="11" s="1"/>
  <c r="V19" i="11"/>
  <c r="V11" i="11"/>
  <c r="W11" i="11" s="1"/>
  <c r="V175" i="11"/>
  <c r="W175" i="11" s="1"/>
  <c r="V149" i="11"/>
  <c r="W149" i="11" s="1"/>
  <c r="V124" i="11"/>
  <c r="W124" i="11" s="1"/>
  <c r="V98" i="11"/>
  <c r="W98" i="11" s="1"/>
  <c r="V191" i="11"/>
  <c r="W191" i="11" s="1"/>
  <c r="V58" i="11"/>
  <c r="V24" i="11"/>
  <c r="W24" i="11" s="1"/>
  <c r="W105" i="11"/>
  <c r="X105" i="11" s="1"/>
  <c r="Y105" i="11" s="1"/>
  <c r="V165" i="11"/>
  <c r="W165" i="11" s="1"/>
  <c r="V82" i="11"/>
  <c r="W82" i="11" s="1"/>
  <c r="V57" i="11"/>
  <c r="W57" i="11" s="1"/>
  <c r="V23" i="11"/>
  <c r="W23" i="11" s="1"/>
  <c r="V155" i="11"/>
  <c r="W155" i="11" s="1"/>
  <c r="V3" i="11"/>
  <c r="W3" i="11" s="1"/>
  <c r="V47" i="11"/>
  <c r="W47" i="11" s="1"/>
  <c r="V22" i="11"/>
  <c r="V189" i="11"/>
  <c r="W189" i="11" s="1"/>
  <c r="V163" i="11"/>
  <c r="W163" i="11" s="1"/>
  <c r="V104" i="11"/>
  <c r="W104" i="11" s="1"/>
  <c r="V88" i="11"/>
  <c r="W88" i="11" s="1"/>
  <c r="V72" i="11"/>
  <c r="W72" i="11" s="1"/>
  <c r="V55" i="11"/>
  <c r="W55" i="11" s="1"/>
  <c r="V40" i="11"/>
  <c r="W40" i="11" s="1"/>
  <c r="V21" i="11"/>
  <c r="V180" i="11"/>
  <c r="W180" i="11" s="1"/>
  <c r="V144" i="11"/>
  <c r="W144" i="11" s="1"/>
  <c r="V120" i="11"/>
  <c r="W120" i="11" s="1"/>
  <c r="V94" i="11"/>
  <c r="W94" i="11" s="1"/>
  <c r="V63" i="11"/>
  <c r="W63" i="11" s="1"/>
  <c r="V39" i="11"/>
  <c r="W39" i="11" s="1"/>
  <c r="V20" i="11"/>
  <c r="W20" i="11" s="1"/>
  <c r="V12" i="11"/>
  <c r="V178" i="11"/>
  <c r="W178" i="11" s="1"/>
  <c r="V195" i="11"/>
  <c r="W195" i="11" s="1"/>
  <c r="V177" i="11"/>
  <c r="W177" i="11" s="1"/>
  <c r="V168" i="11"/>
  <c r="W168" i="11" s="1"/>
  <c r="V160" i="11"/>
  <c r="W160" i="11" s="1"/>
  <c r="V151" i="11"/>
  <c r="W151" i="11" s="1"/>
  <c r="V142" i="11"/>
  <c r="W142" i="11" s="1"/>
  <c r="V134" i="11"/>
  <c r="W134" i="11" s="1"/>
  <c r="V126" i="11"/>
  <c r="W126" i="11" s="1"/>
  <c r="V118" i="11"/>
  <c r="W118" i="11" s="1"/>
  <c r="V109" i="11"/>
  <c r="W109" i="11" s="1"/>
  <c r="V101" i="11"/>
  <c r="W101" i="11" s="1"/>
  <c r="V92" i="11"/>
  <c r="W92" i="11" s="1"/>
  <c r="V84" i="11"/>
  <c r="W84" i="11" s="1"/>
  <c r="V77" i="11"/>
  <c r="W77" i="11" s="1"/>
  <c r="V69" i="11"/>
  <c r="W69" i="11" s="1"/>
  <c r="V61" i="11"/>
  <c r="W61" i="11" s="1"/>
  <c r="V52" i="11"/>
  <c r="W52" i="11" s="1"/>
  <c r="V30" i="11"/>
  <c r="W30" i="11" s="1"/>
  <c r="V26" i="11"/>
  <c r="W26" i="11" s="1"/>
  <c r="V18" i="11"/>
  <c r="W18" i="11" s="1"/>
  <c r="V10" i="11"/>
  <c r="X148" i="11"/>
  <c r="Y148" i="11" s="1"/>
  <c r="V193" i="11"/>
  <c r="W193" i="11" s="1"/>
  <c r="V157" i="11"/>
  <c r="W157" i="11" s="1"/>
  <c r="V132" i="11"/>
  <c r="W132" i="11" s="1"/>
  <c r="V107" i="11"/>
  <c r="W107" i="11" s="1"/>
  <c r="V51" i="11"/>
  <c r="W51" i="11" s="1"/>
  <c r="V34" i="11"/>
  <c r="W34" i="11" s="1"/>
  <c r="V16" i="11"/>
  <c r="W16" i="11" s="1"/>
  <c r="V184" i="11"/>
  <c r="W184" i="11" s="1"/>
  <c r="V174" i="11"/>
  <c r="W174" i="11" s="1"/>
  <c r="V147" i="11"/>
  <c r="W147" i="11" s="1"/>
  <c r="V131" i="11"/>
  <c r="W131" i="11" s="1"/>
  <c r="V123" i="11"/>
  <c r="W123" i="11" s="1"/>
  <c r="V90" i="11"/>
  <c r="W90" i="11" s="1"/>
  <c r="V74" i="11"/>
  <c r="W74" i="11" s="1"/>
  <c r="V48" i="11"/>
  <c r="W48" i="11" s="1"/>
  <c r="V33" i="11"/>
  <c r="W33" i="11" s="1"/>
  <c r="V15" i="11"/>
  <c r="W15" i="11" s="1"/>
  <c r="V190" i="11"/>
  <c r="W190" i="11" s="1"/>
  <c r="V138" i="11"/>
  <c r="W138" i="11" s="1"/>
  <c r="V122" i="11"/>
  <c r="W122" i="11" s="1"/>
  <c r="V81" i="11"/>
  <c r="W81" i="11" s="1"/>
  <c r="V65" i="11"/>
  <c r="W65" i="11" s="1"/>
  <c r="V41" i="11"/>
  <c r="W41" i="11" s="1"/>
  <c r="V5" i="11"/>
  <c r="W5" i="11" s="1"/>
  <c r="V182" i="11"/>
  <c r="W182" i="11" s="1"/>
  <c r="V154" i="11"/>
  <c r="W154" i="11" s="1"/>
  <c r="V137" i="11"/>
  <c r="W137" i="11" s="1"/>
  <c r="V121" i="11"/>
  <c r="V95" i="11"/>
  <c r="W95" i="11" s="1"/>
  <c r="V80" i="11"/>
  <c r="W80" i="11" s="1"/>
  <c r="V64" i="11"/>
  <c r="W64" i="11" s="1"/>
  <c r="V59" i="11"/>
  <c r="W59" i="11" s="1"/>
  <c r="V29" i="11"/>
  <c r="V13" i="11"/>
  <c r="W13" i="11" s="1"/>
  <c r="V188" i="11"/>
  <c r="W188" i="11" s="1"/>
  <c r="V162" i="11"/>
  <c r="W162" i="11" s="1"/>
  <c r="V136" i="11"/>
  <c r="V112" i="11"/>
  <c r="W112" i="11" s="1"/>
  <c r="V87" i="11"/>
  <c r="W87" i="11" s="1"/>
  <c r="V71" i="11"/>
  <c r="W71" i="11" s="1"/>
  <c r="V46" i="11"/>
  <c r="V113" i="11"/>
  <c r="W113" i="11" s="1"/>
  <c r="V161" i="11"/>
  <c r="W161" i="11" s="1"/>
  <c r="V187" i="11"/>
  <c r="W187" i="11" s="1"/>
  <c r="V194" i="11"/>
  <c r="W194" i="11" s="1"/>
  <c r="V186" i="11"/>
  <c r="W186" i="11" s="1"/>
  <c r="V176" i="11"/>
  <c r="W176" i="11" s="1"/>
  <c r="V167" i="11"/>
  <c r="W167" i="11" s="1"/>
  <c r="V159" i="11"/>
  <c r="W159" i="11" s="1"/>
  <c r="V150" i="11"/>
  <c r="W150" i="11" s="1"/>
  <c r="V141" i="11"/>
  <c r="W141" i="11" s="1"/>
  <c r="V133" i="11"/>
  <c r="W133" i="11" s="1"/>
  <c r="V125" i="11"/>
  <c r="W125" i="11" s="1"/>
  <c r="V117" i="11"/>
  <c r="W117" i="11" s="1"/>
  <c r="V108" i="11"/>
  <c r="W108" i="11" s="1"/>
  <c r="V75" i="11"/>
  <c r="W75" i="11" s="1"/>
  <c r="V91" i="11"/>
  <c r="W91" i="11" s="1"/>
  <c r="V83" i="11"/>
  <c r="W83" i="11" s="1"/>
  <c r="V76" i="11"/>
  <c r="W76" i="11" s="1"/>
  <c r="V68" i="11"/>
  <c r="W68" i="11" s="1"/>
  <c r="V27" i="11"/>
  <c r="V9" i="11"/>
  <c r="W9" i="11" s="1"/>
  <c r="V45" i="11"/>
  <c r="W45" i="11" s="1"/>
  <c r="V35" i="11"/>
  <c r="W35" i="11" s="1"/>
  <c r="V25" i="11"/>
  <c r="V17" i="11"/>
  <c r="W7" i="11"/>
  <c r="X7" i="11" s="1"/>
  <c r="Y7" i="11" s="1"/>
  <c r="D24" i="12" l="1"/>
  <c r="D26" i="12"/>
  <c r="D23" i="12"/>
  <c r="W22" i="11"/>
  <c r="X22" i="11" s="1"/>
  <c r="F213" i="11" s="1"/>
  <c r="V210" i="11"/>
  <c r="Y93" i="11"/>
  <c r="B218" i="11"/>
  <c r="V209" i="11"/>
  <c r="X66" i="11"/>
  <c r="X195" i="11"/>
  <c r="X101" i="11"/>
  <c r="X3" i="11"/>
  <c r="X76" i="11"/>
  <c r="X15" i="11"/>
  <c r="X108" i="11"/>
  <c r="X153" i="11"/>
  <c r="X150" i="11"/>
  <c r="X107" i="11"/>
  <c r="X163" i="11"/>
  <c r="X23" i="11"/>
  <c r="X172" i="11"/>
  <c r="X168" i="11"/>
  <c r="X139" i="11"/>
  <c r="X149" i="11"/>
  <c r="B226" i="11" s="1"/>
  <c r="X16" i="11"/>
  <c r="X140" i="11"/>
  <c r="X185" i="11"/>
  <c r="X115" i="11"/>
  <c r="X104" i="11"/>
  <c r="X74" i="11"/>
  <c r="X24" i="11"/>
  <c r="X175" i="11"/>
  <c r="X28" i="11"/>
  <c r="X80" i="11"/>
  <c r="X143" i="11"/>
  <c r="C224" i="11" s="1"/>
  <c r="X94" i="11"/>
  <c r="X99" i="11"/>
  <c r="X141" i="11"/>
  <c r="X187" i="11"/>
  <c r="X91" i="11"/>
  <c r="X133" i="11"/>
  <c r="X162" i="11"/>
  <c r="X5" i="11"/>
  <c r="X51" i="11"/>
  <c r="X160" i="11"/>
  <c r="X124" i="11"/>
  <c r="X119" i="11"/>
  <c r="X128" i="11"/>
  <c r="X173" i="11"/>
  <c r="X67" i="11"/>
  <c r="X90" i="11"/>
  <c r="X77" i="11"/>
  <c r="X120" i="11"/>
  <c r="X57" i="11"/>
  <c r="F214" i="11" s="1"/>
  <c r="X37" i="11"/>
  <c r="X54" i="11"/>
  <c r="X129" i="11"/>
  <c r="X156" i="11"/>
  <c r="X68" i="11"/>
  <c r="X75" i="11"/>
  <c r="X186" i="11"/>
  <c r="X188" i="11"/>
  <c r="B235" i="11" s="1"/>
  <c r="X55" i="11"/>
  <c r="X88" i="11"/>
  <c r="X82" i="11"/>
  <c r="X191" i="11"/>
  <c r="X102" i="11"/>
  <c r="X79" i="11"/>
  <c r="D217" i="11" s="1"/>
  <c r="X145" i="11"/>
  <c r="X114" i="11"/>
  <c r="X20" i="11"/>
  <c r="X45" i="11"/>
  <c r="X83" i="11"/>
  <c r="X159" i="11"/>
  <c r="X59" i="11"/>
  <c r="X33" i="11"/>
  <c r="X123" i="11"/>
  <c r="G222" i="11" s="1"/>
  <c r="X34" i="11"/>
  <c r="X132" i="11"/>
  <c r="G223" i="11" s="1"/>
  <c r="X30" i="11"/>
  <c r="X151" i="11"/>
  <c r="X180" i="11"/>
  <c r="X53" i="11"/>
  <c r="X43" i="11"/>
  <c r="X176" i="11"/>
  <c r="X161" i="11"/>
  <c r="X71" i="11"/>
  <c r="W121" i="11"/>
  <c r="X121" i="11" s="1"/>
  <c r="X190" i="11"/>
  <c r="X131" i="11"/>
  <c r="X69" i="11"/>
  <c r="F215" i="11" s="1"/>
  <c r="X134" i="11"/>
  <c r="X178" i="11"/>
  <c r="B232" i="11" s="1"/>
  <c r="X63" i="11"/>
  <c r="X72" i="11"/>
  <c r="X189" i="11"/>
  <c r="C235" i="11" s="1"/>
  <c r="X11" i="11"/>
  <c r="X85" i="11"/>
  <c r="W78" i="11"/>
  <c r="X78" i="11" s="1"/>
  <c r="X110" i="11"/>
  <c r="W4" i="11"/>
  <c r="X4" i="11" s="1"/>
  <c r="X89" i="11"/>
  <c r="W6" i="11"/>
  <c r="X6" i="11" s="1"/>
  <c r="X146" i="11"/>
  <c r="W46" i="11"/>
  <c r="X46" i="11" s="1"/>
  <c r="W10" i="11"/>
  <c r="X10" i="11" s="1"/>
  <c r="W58" i="11"/>
  <c r="X58" i="11" s="1"/>
  <c r="W19" i="11"/>
  <c r="X19" i="11" s="1"/>
  <c r="W17" i="11"/>
  <c r="X17" i="11" s="1"/>
  <c r="X9" i="11"/>
  <c r="X117" i="11"/>
  <c r="B221" i="11" s="1"/>
  <c r="X113" i="11"/>
  <c r="X87" i="11"/>
  <c r="X64" i="11"/>
  <c r="X137" i="11"/>
  <c r="X41" i="11"/>
  <c r="X122" i="11"/>
  <c r="X147" i="11"/>
  <c r="C226" i="11" s="1"/>
  <c r="X109" i="11"/>
  <c r="B220" i="11" s="1"/>
  <c r="X142" i="11"/>
  <c r="X177" i="11"/>
  <c r="W12" i="11"/>
  <c r="X12" i="11" s="1"/>
  <c r="X155" i="11"/>
  <c r="X165" i="11"/>
  <c r="X38" i="11"/>
  <c r="X152" i="11"/>
  <c r="B227" i="11" s="1"/>
  <c r="X166" i="11"/>
  <c r="G230" i="11" s="1"/>
  <c r="X183" i="11"/>
  <c r="W21" i="11"/>
  <c r="X21" i="11" s="1"/>
  <c r="W14" i="11"/>
  <c r="X14" i="11" s="1"/>
  <c r="W42" i="11"/>
  <c r="X42" i="11" s="1"/>
  <c r="W25" i="11"/>
  <c r="X25" i="11" s="1"/>
  <c r="W27" i="11"/>
  <c r="X27" i="11" s="1"/>
  <c r="X125" i="11"/>
  <c r="B222" i="11" s="1"/>
  <c r="X194" i="11"/>
  <c r="C237" i="11" s="1"/>
  <c r="X112" i="11"/>
  <c r="X13" i="11"/>
  <c r="X154" i="11"/>
  <c r="X65" i="11"/>
  <c r="X138" i="11"/>
  <c r="X174" i="11"/>
  <c r="X157" i="11"/>
  <c r="X18" i="11"/>
  <c r="X52" i="11"/>
  <c r="X84" i="11"/>
  <c r="X118" i="11"/>
  <c r="X40" i="11"/>
  <c r="X47" i="11"/>
  <c r="X60" i="11"/>
  <c r="B214" i="11" s="1"/>
  <c r="W62" i="11"/>
  <c r="X62" i="11" s="1"/>
  <c r="X127" i="11"/>
  <c r="X169" i="11"/>
  <c r="F231" i="11" s="1"/>
  <c r="X32" i="11"/>
  <c r="X130" i="11"/>
  <c r="W2" i="11"/>
  <c r="X35" i="11"/>
  <c r="X167" i="11"/>
  <c r="W136" i="11"/>
  <c r="X136" i="11" s="1"/>
  <c r="W29" i="11"/>
  <c r="X29" i="11" s="1"/>
  <c r="X95" i="11"/>
  <c r="X182" i="11"/>
  <c r="B233" i="11" s="1"/>
  <c r="X81" i="11"/>
  <c r="X48" i="11"/>
  <c r="X184" i="11"/>
  <c r="X193" i="11"/>
  <c r="X26" i="11"/>
  <c r="X61" i="11"/>
  <c r="X92" i="11"/>
  <c r="X126" i="11"/>
  <c r="X39" i="11"/>
  <c r="X144" i="11"/>
  <c r="X98" i="11"/>
  <c r="B219" i="11" s="1"/>
  <c r="X70" i="11"/>
  <c r="X135" i="11"/>
  <c r="X73" i="11"/>
  <c r="C216" i="11" s="1"/>
  <c r="X103" i="11"/>
  <c r="X56" i="11"/>
  <c r="X96" i="11"/>
  <c r="X192" i="11"/>
  <c r="C236" i="11" s="1"/>
  <c r="X116" i="11"/>
  <c r="M206" i="11"/>
  <c r="M175" i="11"/>
  <c r="C231" i="11" l="1"/>
  <c r="C223" i="11"/>
  <c r="C215" i="11"/>
  <c r="B215" i="11"/>
  <c r="W210" i="11"/>
  <c r="C219" i="11"/>
  <c r="C214" i="11"/>
  <c r="C232" i="11"/>
  <c r="H232" i="11" s="1"/>
  <c r="C218" i="11"/>
  <c r="C220" i="11"/>
  <c r="B230" i="11"/>
  <c r="C227" i="11"/>
  <c r="H227" i="11" s="1"/>
  <c r="B217" i="11"/>
  <c r="C221" i="11"/>
  <c r="C213" i="11"/>
  <c r="G213" i="11"/>
  <c r="G238" i="11" s="1"/>
  <c r="K6" i="12" s="1"/>
  <c r="D213" i="11"/>
  <c r="D238" i="11" s="1"/>
  <c r="K4" i="12" s="1"/>
  <c r="C229" i="11"/>
  <c r="H229" i="11" s="1"/>
  <c r="C228" i="11"/>
  <c r="C233" i="11"/>
  <c r="C225" i="11"/>
  <c r="H225" i="11" s="1"/>
  <c r="B231" i="11"/>
  <c r="C222" i="11"/>
  <c r="C217" i="11"/>
  <c r="B228" i="11"/>
  <c r="B223" i="11"/>
  <c r="C234" i="11"/>
  <c r="H234" i="11" s="1"/>
  <c r="C230" i="11"/>
  <c r="W209" i="11"/>
  <c r="H237" i="11"/>
  <c r="H224" i="11"/>
  <c r="H226" i="11"/>
  <c r="H235" i="11"/>
  <c r="H216" i="11"/>
  <c r="H236" i="11"/>
  <c r="E238" i="11"/>
  <c r="K7" i="12" s="1"/>
  <c r="X2" i="11"/>
  <c r="N206" i="11"/>
  <c r="O206" i="11" s="1"/>
  <c r="P206" i="11" s="1"/>
  <c r="Y206" i="11" s="1"/>
  <c r="N175" i="11"/>
  <c r="O175" i="11" s="1"/>
  <c r="P175" i="11" s="1"/>
  <c r="Y175" i="11" s="1"/>
  <c r="X210" i="11" l="1"/>
  <c r="B213" i="11"/>
  <c r="X209" i="11"/>
  <c r="C238" i="11"/>
  <c r="K2" i="12" s="1"/>
  <c r="H219" i="11"/>
  <c r="H214" i="11"/>
  <c r="H220" i="11"/>
  <c r="H231" i="11"/>
  <c r="H228" i="11"/>
  <c r="H217" i="11"/>
  <c r="H215" i="11"/>
  <c r="H221" i="11"/>
  <c r="H223" i="11"/>
  <c r="F238" i="11"/>
  <c r="K5" i="12" s="1"/>
  <c r="H230" i="11"/>
  <c r="H218" i="11"/>
  <c r="H233" i="11"/>
  <c r="H222" i="11"/>
  <c r="M115" i="11"/>
  <c r="H213" i="11" l="1"/>
  <c r="H238" i="11" s="1"/>
  <c r="B238" i="11"/>
  <c r="K3" i="12" s="1"/>
  <c r="K9" i="12" s="1"/>
  <c r="N115" i="11"/>
  <c r="O115" i="11" s="1"/>
  <c r="P115" i="11" s="1"/>
  <c r="Y115" i="11" s="1"/>
  <c r="F2" i="2"/>
  <c r="G2" i="2" s="1"/>
  <c r="F3" i="2"/>
  <c r="G3" i="2" s="1"/>
  <c r="F4" i="2"/>
  <c r="G4" i="2" s="1"/>
  <c r="F5" i="2"/>
  <c r="G5" i="2" s="1"/>
  <c r="F6" i="2"/>
  <c r="G6" i="2" s="1"/>
  <c r="F7" i="2"/>
  <c r="G7" i="2" s="1"/>
  <c r="F8" i="2"/>
  <c r="G8" i="2" s="1"/>
  <c r="F9" i="2"/>
  <c r="G9" i="2" s="1"/>
  <c r="F10" i="2"/>
  <c r="G10" i="2" s="1"/>
  <c r="F11" i="2"/>
  <c r="G11" i="2" s="1"/>
  <c r="F12" i="2"/>
  <c r="G12" i="2" s="1"/>
  <c r="F13" i="2"/>
  <c r="G13" i="2" s="1"/>
  <c r="F14" i="2"/>
  <c r="G14" i="2" s="1"/>
  <c r="F15" i="2"/>
  <c r="G15" i="2" s="1"/>
  <c r="F16" i="2"/>
  <c r="G16" i="2" s="1"/>
  <c r="F17" i="2"/>
  <c r="G17" i="2" s="1"/>
  <c r="F18" i="2"/>
  <c r="G18" i="2" s="1"/>
  <c r="F19" i="2"/>
  <c r="G19" i="2" s="1"/>
  <c r="F20" i="2"/>
  <c r="G20" i="2" s="1"/>
  <c r="F21" i="2"/>
  <c r="G21" i="2" s="1"/>
  <c r="F22" i="2"/>
  <c r="G22" i="2" s="1"/>
  <c r="F23" i="2"/>
  <c r="G23" i="2" s="1"/>
  <c r="F24" i="2"/>
  <c r="G24" i="2" s="1"/>
  <c r="F25" i="2"/>
  <c r="G25" i="2" s="1"/>
  <c r="F26" i="2"/>
  <c r="G26" i="2" s="1"/>
  <c r="F27" i="2"/>
  <c r="G27" i="2" s="1"/>
  <c r="F28" i="2"/>
  <c r="G28" i="2" s="1"/>
  <c r="F29" i="2"/>
  <c r="G29" i="2" s="1"/>
  <c r="F30" i="2"/>
  <c r="G30" i="2" s="1"/>
  <c r="F31" i="2"/>
  <c r="G31" i="2" s="1"/>
  <c r="F32" i="2"/>
  <c r="G32" i="2" s="1"/>
  <c r="F33" i="2"/>
  <c r="G33" i="2" s="1"/>
  <c r="F34" i="2"/>
  <c r="G34" i="2" s="1"/>
  <c r="F35" i="2"/>
  <c r="G35" i="2" s="1"/>
  <c r="F36" i="2"/>
  <c r="G36" i="2" s="1"/>
  <c r="F37" i="2"/>
  <c r="G37" i="2" s="1"/>
  <c r="F38" i="2"/>
  <c r="G38" i="2" s="1"/>
  <c r="F39" i="2"/>
  <c r="G39" i="2" s="1"/>
  <c r="F40" i="2"/>
  <c r="G40" i="2" s="1"/>
  <c r="F41" i="2"/>
  <c r="G41" i="2" s="1"/>
  <c r="F42" i="2"/>
  <c r="G42" i="2" s="1"/>
  <c r="F43" i="2"/>
  <c r="G43" i="2" s="1"/>
  <c r="F44" i="2"/>
  <c r="G44" i="2" s="1"/>
  <c r="F45" i="2"/>
  <c r="G45" i="2" s="1"/>
  <c r="F46" i="2"/>
  <c r="G46" i="2" s="1"/>
  <c r="F47" i="2"/>
  <c r="G47" i="2" s="1"/>
  <c r="F48" i="2"/>
  <c r="G48" i="2" s="1"/>
  <c r="F49" i="2"/>
  <c r="G49" i="2" s="1"/>
  <c r="F50" i="2"/>
  <c r="G50" i="2" s="1"/>
  <c r="F51" i="2"/>
  <c r="G51" i="2" s="1"/>
  <c r="F52" i="2"/>
  <c r="G52" i="2" s="1"/>
  <c r="F53" i="2"/>
  <c r="G53" i="2" s="1"/>
  <c r="F54" i="2"/>
  <c r="G54" i="2" s="1"/>
  <c r="F55" i="2"/>
  <c r="G55" i="2" s="1"/>
  <c r="F56" i="2"/>
  <c r="G56" i="2" s="1"/>
  <c r="F57" i="2"/>
  <c r="G57" i="2" s="1"/>
  <c r="F58" i="2"/>
  <c r="G58" i="2" s="1"/>
  <c r="F60" i="2"/>
  <c r="G60" i="2" s="1"/>
  <c r="F62" i="2"/>
  <c r="G62" i="2" s="1"/>
  <c r="F63" i="2"/>
  <c r="G63" i="2" s="1"/>
  <c r="F64" i="2"/>
  <c r="G64" i="2" s="1"/>
  <c r="F65" i="2"/>
  <c r="G65" i="2" s="1"/>
  <c r="F66" i="2"/>
  <c r="G66" i="2" s="1"/>
  <c r="F67" i="2"/>
  <c r="G67" i="2" s="1"/>
  <c r="F68" i="2"/>
  <c r="G68" i="2" s="1"/>
  <c r="F69" i="2"/>
  <c r="G69" i="2" s="1"/>
  <c r="F70" i="2"/>
  <c r="G70" i="2" s="1"/>
  <c r="F71" i="2"/>
  <c r="G71" i="2" s="1"/>
  <c r="F72" i="2"/>
  <c r="G72" i="2" s="1"/>
  <c r="F73" i="2"/>
  <c r="G73" i="2" s="1"/>
  <c r="F74" i="2"/>
  <c r="G74" i="2" s="1"/>
  <c r="F75" i="2"/>
  <c r="G75" i="2" s="1"/>
  <c r="F76" i="2"/>
  <c r="G76" i="2" s="1"/>
  <c r="F77" i="2"/>
  <c r="G77" i="2" s="1"/>
  <c r="F79" i="2"/>
  <c r="G79" i="2" s="1"/>
  <c r="F80" i="2"/>
  <c r="G80" i="2" s="1"/>
  <c r="F81" i="2"/>
  <c r="G81" i="2" s="1"/>
  <c r="F82" i="2"/>
  <c r="G82" i="2" s="1"/>
  <c r="F83" i="2"/>
  <c r="G83" i="2" s="1"/>
  <c r="F84" i="2"/>
  <c r="G84" i="2" s="1"/>
  <c r="F85" i="2"/>
  <c r="G85" i="2" s="1"/>
  <c r="F86" i="2"/>
  <c r="G86" i="2" s="1"/>
  <c r="F87" i="2"/>
  <c r="G87" i="2" s="1"/>
  <c r="F88" i="2"/>
  <c r="G88" i="2" s="1"/>
  <c r="F89" i="2"/>
  <c r="G89" i="2" s="1"/>
  <c r="F90" i="2"/>
  <c r="G90" i="2" s="1"/>
  <c r="F91" i="2"/>
  <c r="G91" i="2" s="1"/>
  <c r="F92" i="2"/>
  <c r="G92" i="2" s="1"/>
  <c r="F93" i="2"/>
  <c r="G93" i="2" s="1"/>
  <c r="F94" i="2"/>
  <c r="G94" i="2" s="1"/>
  <c r="F95" i="2"/>
  <c r="G95" i="2" s="1"/>
  <c r="F96" i="2"/>
  <c r="G96" i="2" s="1"/>
  <c r="F97" i="2"/>
  <c r="G97" i="2" s="1"/>
  <c r="F98" i="2"/>
  <c r="G98" i="2" s="1"/>
  <c r="F99" i="2"/>
  <c r="G99" i="2" s="1"/>
  <c r="F100" i="2"/>
  <c r="G100" i="2" s="1"/>
  <c r="F101" i="2"/>
  <c r="G101" i="2" s="1"/>
  <c r="F102" i="2"/>
  <c r="G102" i="2" s="1"/>
  <c r="F103" i="2"/>
  <c r="G103" i="2" s="1"/>
  <c r="F104" i="2"/>
  <c r="G104" i="2" s="1"/>
  <c r="F105" i="2"/>
  <c r="G105" i="2" s="1"/>
  <c r="F106" i="2"/>
  <c r="G106" i="2" s="1"/>
  <c r="F107" i="2"/>
  <c r="G107" i="2" s="1"/>
  <c r="F108" i="2"/>
  <c r="G108" i="2" s="1"/>
  <c r="F109" i="2"/>
  <c r="G109" i="2" s="1"/>
  <c r="F110" i="2"/>
  <c r="G110" i="2" s="1"/>
  <c r="F111" i="2"/>
  <c r="G111" i="2" s="1"/>
  <c r="F112" i="2"/>
  <c r="G112" i="2" s="1"/>
  <c r="F113" i="2"/>
  <c r="G113" i="2" s="1"/>
  <c r="F114" i="2"/>
  <c r="G114" i="2" s="1"/>
  <c r="F115" i="2"/>
  <c r="G115" i="2" s="1"/>
  <c r="F116" i="2"/>
  <c r="G116" i="2" s="1"/>
  <c r="F117" i="2"/>
  <c r="G117" i="2" s="1"/>
  <c r="F118" i="2"/>
  <c r="G118" i="2" s="1"/>
  <c r="F119" i="2"/>
  <c r="G119" i="2" s="1"/>
  <c r="F120" i="2"/>
  <c r="G120" i="2" s="1"/>
  <c r="F121" i="2"/>
  <c r="G121" i="2" s="1"/>
  <c r="F122" i="2"/>
  <c r="G122" i="2" s="1"/>
  <c r="F123" i="2"/>
  <c r="G123" i="2" s="1"/>
  <c r="F124" i="2"/>
  <c r="G124" i="2" s="1"/>
  <c r="F125" i="2"/>
  <c r="G125" i="2" s="1"/>
  <c r="F126" i="2"/>
  <c r="G126" i="2" s="1"/>
  <c r="F127" i="2"/>
  <c r="G127" i="2" s="1"/>
  <c r="F128" i="2"/>
  <c r="G128" i="2" s="1"/>
  <c r="F129" i="2"/>
  <c r="G129" i="2" s="1"/>
  <c r="F130" i="2"/>
  <c r="G130" i="2" s="1"/>
  <c r="M157" i="11" l="1"/>
  <c r="M208" i="11"/>
  <c r="N208" i="11" s="1"/>
  <c r="O208" i="11" s="1"/>
  <c r="P208" i="11" s="1"/>
  <c r="Y208" i="11" s="1"/>
  <c r="M174" i="11"/>
  <c r="M188" i="11"/>
  <c r="M207" i="11"/>
  <c r="M205" i="11"/>
  <c r="M35" i="11"/>
  <c r="N35" i="11" s="1"/>
  <c r="M30" i="11"/>
  <c r="N174" i="11" l="1"/>
  <c r="O174" i="11" s="1"/>
  <c r="P174" i="11" s="1"/>
  <c r="Y174" i="11" s="1"/>
  <c r="N205" i="11"/>
  <c r="O205" i="11" s="1"/>
  <c r="P205" i="11" s="1"/>
  <c r="Y205" i="11" s="1"/>
  <c r="N207" i="11"/>
  <c r="O207" i="11" s="1"/>
  <c r="P207" i="11" s="1"/>
  <c r="Y207" i="11" s="1"/>
  <c r="N157" i="11"/>
  <c r="O157" i="11" s="1"/>
  <c r="P157" i="11" s="1"/>
  <c r="Y157" i="11" s="1"/>
  <c r="N188" i="11"/>
  <c r="O188" i="11" s="1"/>
  <c r="P188" i="11" s="1"/>
  <c r="Y188" i="11" s="1"/>
  <c r="O35" i="11"/>
  <c r="P35" i="11" s="1"/>
  <c r="Y35" i="11" s="1"/>
  <c r="N30" i="11"/>
  <c r="O30" i="11" s="1"/>
  <c r="P30" i="11" s="1"/>
  <c r="Y30" i="11" s="1"/>
  <c r="J2" i="2" l="1"/>
  <c r="BN2" i="2" s="1"/>
  <c r="BN131" i="2" s="1"/>
  <c r="M120" i="11" l="1"/>
  <c r="M114" i="11"/>
  <c r="N114" i="11" s="1"/>
  <c r="M98" i="11"/>
  <c r="N98" i="11" s="1"/>
  <c r="O98" i="11" s="1"/>
  <c r="P98" i="11" s="1"/>
  <c r="Y98" i="11" s="1"/>
  <c r="N120" i="11" l="1"/>
  <c r="O120" i="11" s="1"/>
  <c r="P120" i="11" s="1"/>
  <c r="Y120" i="11" s="1"/>
  <c r="O114" i="11"/>
  <c r="P114" i="11" s="1"/>
  <c r="Y114" i="11" s="1"/>
  <c r="M79" i="11" l="1"/>
  <c r="M96" i="11"/>
  <c r="M92" i="11"/>
  <c r="M89" i="11"/>
  <c r="M77" i="11"/>
  <c r="N77" i="11" s="1"/>
  <c r="O77" i="11" s="1"/>
  <c r="P77" i="11" s="1"/>
  <c r="Y77" i="11" s="1"/>
  <c r="M48" i="11"/>
  <c r="M73" i="11"/>
  <c r="N79" i="11" l="1"/>
  <c r="O79" i="11" s="1"/>
  <c r="P79" i="11" s="1"/>
  <c r="Y79" i="11" s="1"/>
  <c r="N96" i="11"/>
  <c r="O96" i="11" s="1"/>
  <c r="P96" i="11" s="1"/>
  <c r="Y96" i="11" s="1"/>
  <c r="N89" i="11"/>
  <c r="O89" i="11" s="1"/>
  <c r="P89" i="11" s="1"/>
  <c r="Y89" i="11" s="1"/>
  <c r="N92" i="11"/>
  <c r="O92" i="11" s="1"/>
  <c r="P92" i="11" s="1"/>
  <c r="Y92" i="11" s="1"/>
  <c r="N48" i="11"/>
  <c r="O48" i="11" s="1"/>
  <c r="P48" i="11" s="1"/>
  <c r="Y48" i="11" s="1"/>
  <c r="N73" i="11"/>
  <c r="O73" i="11" s="1"/>
  <c r="P73" i="11" s="1"/>
  <c r="Y73" i="11" s="1"/>
  <c r="M11" i="11"/>
  <c r="E6" i="12" l="1"/>
  <c r="N11" i="11"/>
  <c r="O11" i="11" s="1"/>
  <c r="P11" i="11" s="1"/>
  <c r="Y11" i="11" s="1"/>
  <c r="F6" i="12" l="1"/>
  <c r="F27" i="12" s="1"/>
  <c r="E27" i="12"/>
  <c r="M135" i="11"/>
  <c r="N135" i="11" s="1"/>
  <c r="O135" i="11" s="1"/>
  <c r="P135" i="11" s="1"/>
  <c r="Y135" i="11" s="1"/>
  <c r="G27" i="12" l="1"/>
  <c r="L6" i="12"/>
  <c r="M201" i="11"/>
  <c r="M195" i="11"/>
  <c r="N195" i="11" s="1"/>
  <c r="M194" i="11"/>
  <c r="N194" i="11" s="1"/>
  <c r="O194" i="11" s="1"/>
  <c r="P194" i="11" s="1"/>
  <c r="Y194" i="11" s="1"/>
  <c r="M193" i="11"/>
  <c r="M192" i="11"/>
  <c r="N192" i="11" s="1"/>
  <c r="M189" i="11"/>
  <c r="N189" i="11" s="1"/>
  <c r="O189" i="11" s="1"/>
  <c r="P189" i="11" s="1"/>
  <c r="Y189" i="11" s="1"/>
  <c r="M103" i="11"/>
  <c r="M113" i="11"/>
  <c r="M187" i="11"/>
  <c r="N187" i="11" s="1"/>
  <c r="O187" i="11" s="1"/>
  <c r="P187" i="11" s="1"/>
  <c r="Y187" i="11" s="1"/>
  <c r="M186" i="11"/>
  <c r="N186" i="11" s="1"/>
  <c r="M185" i="11"/>
  <c r="M184" i="11"/>
  <c r="N184" i="11" s="1"/>
  <c r="M183" i="11"/>
  <c r="N183" i="11" s="1"/>
  <c r="O183" i="11" s="1"/>
  <c r="P183" i="11" s="1"/>
  <c r="Y183" i="11" s="1"/>
  <c r="M182" i="11"/>
  <c r="N182" i="11" s="1"/>
  <c r="O182" i="11" s="1"/>
  <c r="P182" i="11" s="1"/>
  <c r="Y182" i="11" s="1"/>
  <c r="M178" i="11"/>
  <c r="M180" i="11"/>
  <c r="M177" i="11"/>
  <c r="N177" i="11" s="1"/>
  <c r="O177" i="11" s="1"/>
  <c r="P177" i="11" s="1"/>
  <c r="Y177" i="11" s="1"/>
  <c r="M176" i="11"/>
  <c r="N176" i="11" s="1"/>
  <c r="M173" i="11"/>
  <c r="M169" i="11"/>
  <c r="N169" i="11" s="1"/>
  <c r="M172" i="11"/>
  <c r="N172" i="11" s="1"/>
  <c r="O172" i="11" s="1"/>
  <c r="P172" i="11" s="1"/>
  <c r="Y172" i="11" s="1"/>
  <c r="M166" i="11"/>
  <c r="M165" i="11"/>
  <c r="M163" i="11"/>
  <c r="M167" i="11"/>
  <c r="N167" i="11" s="1"/>
  <c r="M94" i="11"/>
  <c r="N94" i="11" s="1"/>
  <c r="M161" i="11"/>
  <c r="N161" i="11" s="1"/>
  <c r="O161" i="11" s="1"/>
  <c r="P161" i="11" s="1"/>
  <c r="Y161" i="11" s="1"/>
  <c r="M160" i="11"/>
  <c r="M159" i="11"/>
  <c r="M156" i="11"/>
  <c r="M155" i="11"/>
  <c r="N155" i="11" s="1"/>
  <c r="O155" i="11" s="1"/>
  <c r="P155" i="11" s="1"/>
  <c r="Y155" i="11" s="1"/>
  <c r="M154" i="11"/>
  <c r="M153" i="11"/>
  <c r="M152" i="11"/>
  <c r="N152" i="11" s="1"/>
  <c r="O152" i="11" s="1"/>
  <c r="P152" i="11" s="1"/>
  <c r="Y152" i="11" s="1"/>
  <c r="M150" i="11"/>
  <c r="N150" i="11" s="1"/>
  <c r="O150" i="11" s="1"/>
  <c r="P150" i="11" s="1"/>
  <c r="Y150" i="11" s="1"/>
  <c r="M149" i="11"/>
  <c r="M146" i="11"/>
  <c r="N146" i="11" s="1"/>
  <c r="O146" i="11" s="1"/>
  <c r="P146" i="11" s="1"/>
  <c r="Y146" i="11" s="1"/>
  <c r="M145" i="11"/>
  <c r="N145" i="11" s="1"/>
  <c r="M144" i="11"/>
  <c r="M143" i="11"/>
  <c r="N143" i="11" s="1"/>
  <c r="M132" i="11"/>
  <c r="N132" i="11" s="1"/>
  <c r="O132" i="11" s="1"/>
  <c r="P132" i="11" s="1"/>
  <c r="Y132" i="11" s="1"/>
  <c r="M139" i="11"/>
  <c r="N139" i="11" s="1"/>
  <c r="O139" i="11" s="1"/>
  <c r="P139" i="11" s="1"/>
  <c r="Y139" i="11" s="1"/>
  <c r="M137" i="11"/>
  <c r="M142" i="11"/>
  <c r="M141" i="11"/>
  <c r="N141" i="11" s="1"/>
  <c r="O141" i="11" s="1"/>
  <c r="P141" i="11" s="1"/>
  <c r="Y141" i="11" s="1"/>
  <c r="M140" i="11"/>
  <c r="N140" i="11" s="1"/>
  <c r="O140" i="11" s="1"/>
  <c r="P140" i="11" s="1"/>
  <c r="Y140" i="11" s="1"/>
  <c r="M138" i="11"/>
  <c r="M136" i="11"/>
  <c r="N136" i="11" s="1"/>
  <c r="M151" i="11"/>
  <c r="N151" i="11" s="1"/>
  <c r="M134" i="11"/>
  <c r="N134" i="11" s="1"/>
  <c r="O134" i="11" s="1"/>
  <c r="P134" i="11" s="1"/>
  <c r="Y134" i="11" s="1"/>
  <c r="M133" i="11"/>
  <c r="M123" i="11"/>
  <c r="M127" i="11"/>
  <c r="N127" i="11" s="1"/>
  <c r="O127" i="11" s="1"/>
  <c r="P127" i="11" s="1"/>
  <c r="Y127" i="11" s="1"/>
  <c r="M125" i="11"/>
  <c r="N125" i="11" s="1"/>
  <c r="O125" i="11" s="1"/>
  <c r="P125" i="11" s="1"/>
  <c r="Y125" i="11" s="1"/>
  <c r="M131" i="11"/>
  <c r="M130" i="11"/>
  <c r="M129" i="11"/>
  <c r="N129" i="11" s="1"/>
  <c r="O129" i="11" s="1"/>
  <c r="P129" i="11" s="1"/>
  <c r="Y129" i="11" s="1"/>
  <c r="M128" i="11"/>
  <c r="N128" i="11" s="1"/>
  <c r="O128" i="11" s="1"/>
  <c r="P128" i="11" s="1"/>
  <c r="Y128" i="11" s="1"/>
  <c r="M126" i="11"/>
  <c r="M124" i="11"/>
  <c r="N124" i="11" s="1"/>
  <c r="M122" i="11"/>
  <c r="N122" i="11" s="1"/>
  <c r="M121" i="11"/>
  <c r="N121" i="11" s="1"/>
  <c r="O121" i="11" s="1"/>
  <c r="P121" i="11" s="1"/>
  <c r="Y121" i="11" s="1"/>
  <c r="M117" i="11"/>
  <c r="M119" i="11"/>
  <c r="N119" i="11" s="1"/>
  <c r="M118" i="11"/>
  <c r="N118" i="11" s="1"/>
  <c r="O118" i="11" s="1"/>
  <c r="P118" i="11" s="1"/>
  <c r="Y118" i="11" s="1"/>
  <c r="M147" i="11"/>
  <c r="N147" i="11" s="1"/>
  <c r="O147" i="11" s="1"/>
  <c r="P147" i="11" s="1"/>
  <c r="Y147" i="11" s="1"/>
  <c r="M116" i="11"/>
  <c r="M99" i="11"/>
  <c r="N99" i="11" s="1"/>
  <c r="M9" i="11"/>
  <c r="N9" i="11" s="1"/>
  <c r="O9" i="11" s="1"/>
  <c r="P9" i="11" s="1"/>
  <c r="Y9" i="11" s="1"/>
  <c r="M109" i="11"/>
  <c r="N109" i="11" s="1"/>
  <c r="O109" i="11" s="1"/>
  <c r="P109" i="11" s="1"/>
  <c r="Y109" i="11" s="1"/>
  <c r="M112" i="11"/>
  <c r="M110" i="11"/>
  <c r="M108" i="11"/>
  <c r="N108" i="11" s="1"/>
  <c r="O108" i="11" s="1"/>
  <c r="P108" i="11" s="1"/>
  <c r="Y108" i="11" s="1"/>
  <c r="M107" i="11"/>
  <c r="N107" i="11" s="1"/>
  <c r="O107" i="11" s="1"/>
  <c r="P107" i="11" s="1"/>
  <c r="Y107" i="11" s="1"/>
  <c r="M168" i="11"/>
  <c r="M104" i="11"/>
  <c r="N104" i="11" s="1"/>
  <c r="M162" i="11"/>
  <c r="N162" i="11" s="1"/>
  <c r="M102" i="11"/>
  <c r="N102" i="11" s="1"/>
  <c r="M101" i="11"/>
  <c r="M75" i="11"/>
  <c r="N75" i="11" s="1"/>
  <c r="M95" i="11"/>
  <c r="M190" i="11"/>
  <c r="N190" i="11" s="1"/>
  <c r="O190" i="11" s="1"/>
  <c r="P190" i="11" s="1"/>
  <c r="Y190" i="11" s="1"/>
  <c r="M91" i="11"/>
  <c r="M90" i="11"/>
  <c r="N90" i="11" s="1"/>
  <c r="M88" i="11"/>
  <c r="N88" i="11" s="1"/>
  <c r="M81" i="11"/>
  <c r="N81" i="11" s="1"/>
  <c r="M80" i="11"/>
  <c r="M87" i="11"/>
  <c r="N87" i="11" s="1"/>
  <c r="M38" i="11"/>
  <c r="N38" i="11" s="1"/>
  <c r="O38" i="11" s="1"/>
  <c r="P38" i="11" s="1"/>
  <c r="Y38" i="11" s="1"/>
  <c r="M84" i="11"/>
  <c r="N84" i="11" s="1"/>
  <c r="O84" i="11" s="1"/>
  <c r="P84" i="11" s="1"/>
  <c r="Y84" i="11" s="1"/>
  <c r="M83" i="11"/>
  <c r="M82" i="11"/>
  <c r="N82" i="11" s="1"/>
  <c r="M78" i="11"/>
  <c r="N78" i="11" s="1"/>
  <c r="M76" i="11"/>
  <c r="N76" i="11" s="1"/>
  <c r="M191" i="11"/>
  <c r="M74" i="11"/>
  <c r="N74" i="11" s="1"/>
  <c r="O74" i="11" s="1"/>
  <c r="P74" i="11" s="1"/>
  <c r="Y74" i="11" s="1"/>
  <c r="M3" i="11"/>
  <c r="N3" i="11" s="1"/>
  <c r="O3" i="11" s="1"/>
  <c r="P3" i="11" s="1"/>
  <c r="Y3" i="11" s="1"/>
  <c r="M72" i="11"/>
  <c r="M70" i="11"/>
  <c r="N70" i="11" s="1"/>
  <c r="M71" i="11"/>
  <c r="N71" i="11" s="1"/>
  <c r="O71" i="11" s="1"/>
  <c r="P71" i="11" s="1"/>
  <c r="Y71" i="11" s="1"/>
  <c r="M68" i="11"/>
  <c r="M69" i="11"/>
  <c r="N69" i="11" s="1"/>
  <c r="M27" i="11"/>
  <c r="M67" i="11"/>
  <c r="N67" i="11" s="1"/>
  <c r="O67" i="11" s="1"/>
  <c r="P67" i="11" s="1"/>
  <c r="Y67" i="11" s="1"/>
  <c r="M66" i="11"/>
  <c r="M65" i="11"/>
  <c r="N65" i="11" s="1"/>
  <c r="O65" i="11" s="1"/>
  <c r="P65" i="11" s="1"/>
  <c r="Y65" i="11" s="1"/>
  <c r="M64" i="11"/>
  <c r="N64" i="11" s="1"/>
  <c r="O64" i="11" s="1"/>
  <c r="P64" i="11" s="1"/>
  <c r="Y64" i="11" s="1"/>
  <c r="M63" i="11"/>
  <c r="N63" i="11" s="1"/>
  <c r="O63" i="11" s="1"/>
  <c r="M62" i="11"/>
  <c r="M61" i="11"/>
  <c r="M58" i="11"/>
  <c r="N58" i="11" s="1"/>
  <c r="M56" i="11"/>
  <c r="N56" i="11" s="1"/>
  <c r="O56" i="11" s="1"/>
  <c r="P56" i="11" s="1"/>
  <c r="Y56" i="11" s="1"/>
  <c r="M55" i="11"/>
  <c r="M54" i="11"/>
  <c r="M53" i="11"/>
  <c r="M52" i="11"/>
  <c r="N52" i="11" s="1"/>
  <c r="O52" i="11" s="1"/>
  <c r="P52" i="11" s="1"/>
  <c r="Y52" i="11" s="1"/>
  <c r="M57" i="11"/>
  <c r="N57" i="11" s="1"/>
  <c r="O57" i="11" s="1"/>
  <c r="P57" i="11" s="1"/>
  <c r="Y57" i="11" s="1"/>
  <c r="M24" i="11"/>
  <c r="M51" i="11"/>
  <c r="M45" i="11"/>
  <c r="M34" i="11"/>
  <c r="M39" i="11"/>
  <c r="M29" i="11"/>
  <c r="N29" i="11" s="1"/>
  <c r="O29" i="11" s="1"/>
  <c r="P29" i="11" s="1"/>
  <c r="Y29" i="11" s="1"/>
  <c r="M60" i="11"/>
  <c r="N60" i="11" s="1"/>
  <c r="O60" i="11" s="1"/>
  <c r="P60" i="11" s="1"/>
  <c r="Y60" i="11" s="1"/>
  <c r="M26" i="11"/>
  <c r="M25" i="11"/>
  <c r="N25" i="11" s="1"/>
  <c r="M23" i="11"/>
  <c r="N23" i="11" s="1"/>
  <c r="O23" i="11" s="1"/>
  <c r="P23" i="11" s="1"/>
  <c r="Y23" i="11" s="1"/>
  <c r="M21" i="11"/>
  <c r="N21" i="11" s="1"/>
  <c r="O21" i="11" s="1"/>
  <c r="P21" i="11" s="1"/>
  <c r="Y21" i="11" s="1"/>
  <c r="M2" i="11"/>
  <c r="M47" i="11"/>
  <c r="N47" i="11" s="1"/>
  <c r="O47" i="11" s="1"/>
  <c r="P47" i="11" s="1"/>
  <c r="Y47" i="11" s="1"/>
  <c r="M59" i="11"/>
  <c r="N59" i="11" s="1"/>
  <c r="M85" i="11"/>
  <c r="N85" i="11" s="1"/>
  <c r="M43" i="11"/>
  <c r="N43" i="11" s="1"/>
  <c r="O43" i="11" s="1"/>
  <c r="P43" i="11" s="1"/>
  <c r="Y43" i="11" s="1"/>
  <c r="M42" i="11"/>
  <c r="M41" i="11"/>
  <c r="N41" i="11" s="1"/>
  <c r="M40" i="11"/>
  <c r="N40" i="11" s="1"/>
  <c r="M37" i="11"/>
  <c r="N37" i="11" s="1"/>
  <c r="O37" i="11" s="1"/>
  <c r="P37" i="11" s="1"/>
  <c r="Y37" i="11" s="1"/>
  <c r="M204" i="11"/>
  <c r="M33" i="11"/>
  <c r="N33" i="11" s="1"/>
  <c r="M32" i="11"/>
  <c r="N32" i="11" s="1"/>
  <c r="O32" i="11" s="1"/>
  <c r="P32" i="11" s="1"/>
  <c r="Y32" i="11" s="1"/>
  <c r="M28" i="11"/>
  <c r="M20" i="11"/>
  <c r="N20" i="11" s="1"/>
  <c r="M19" i="11"/>
  <c r="N19" i="11" s="1"/>
  <c r="M18" i="11"/>
  <c r="N18" i="11" s="1"/>
  <c r="O18" i="11" s="1"/>
  <c r="P18" i="11" s="1"/>
  <c r="Y18" i="11" s="1"/>
  <c r="M17" i="11"/>
  <c r="M16" i="11"/>
  <c r="M15" i="11"/>
  <c r="N15" i="11" s="1"/>
  <c r="O15" i="11" s="1"/>
  <c r="P15" i="11" s="1"/>
  <c r="Y15" i="11" s="1"/>
  <c r="M14" i="11"/>
  <c r="M13" i="11"/>
  <c r="M12" i="11"/>
  <c r="N12" i="11" s="1"/>
  <c r="O12" i="11" s="1"/>
  <c r="P12" i="11" s="1"/>
  <c r="Y12" i="11" s="1"/>
  <c r="M10" i="11"/>
  <c r="M203" i="11"/>
  <c r="N203" i="11" s="1"/>
  <c r="M6" i="11"/>
  <c r="N6" i="11" s="1"/>
  <c r="M5" i="11"/>
  <c r="M4" i="11"/>
  <c r="N4" i="11" s="1"/>
  <c r="M46" i="11"/>
  <c r="N46" i="11" s="1"/>
  <c r="O46" i="11" s="1"/>
  <c r="P46" i="11" s="1"/>
  <c r="Y46" i="11" s="1"/>
  <c r="M22" i="11"/>
  <c r="AB7" i="6"/>
  <c r="AA7" i="6"/>
  <c r="Z7" i="6"/>
  <c r="Y7" i="6"/>
  <c r="X7" i="6"/>
  <c r="W7" i="6"/>
  <c r="V7" i="6"/>
  <c r="U7" i="6"/>
  <c r="T7" i="6"/>
  <c r="S7" i="6"/>
  <c r="S10" i="6" s="1"/>
  <c r="R7" i="6"/>
  <c r="R10" i="6" s="1"/>
  <c r="Q7" i="6"/>
  <c r="Q10" i="6" s="1"/>
  <c r="P7" i="6"/>
  <c r="O7" i="6"/>
  <c r="N7" i="6"/>
  <c r="M7" i="6"/>
  <c r="L7" i="6"/>
  <c r="K7" i="6"/>
  <c r="J7" i="6"/>
  <c r="I7" i="6"/>
  <c r="H7" i="6"/>
  <c r="G7" i="6"/>
  <c r="F7" i="6"/>
  <c r="E7" i="6"/>
  <c r="D7" i="6"/>
  <c r="C6" i="6"/>
  <c r="C5" i="6"/>
  <c r="C4" i="6"/>
  <c r="C3" i="6"/>
  <c r="C2" i="6"/>
  <c r="P63" i="11" l="1"/>
  <c r="Y63" i="11" s="1"/>
  <c r="E5" i="12"/>
  <c r="N51" i="11"/>
  <c r="O51" i="11" s="1"/>
  <c r="P51" i="11" s="1"/>
  <c r="Y51" i="11" s="1"/>
  <c r="O76" i="11"/>
  <c r="P76" i="11" s="1"/>
  <c r="Y76" i="11" s="1"/>
  <c r="O176" i="11"/>
  <c r="P176" i="11" s="1"/>
  <c r="Y176" i="11" s="1"/>
  <c r="O167" i="11"/>
  <c r="P167" i="11" s="1"/>
  <c r="Y167" i="11" s="1"/>
  <c r="O70" i="11"/>
  <c r="P70" i="11" s="1"/>
  <c r="Y70" i="11" s="1"/>
  <c r="O81" i="11"/>
  <c r="P81" i="11" s="1"/>
  <c r="Y81" i="11" s="1"/>
  <c r="N163" i="11"/>
  <c r="O163" i="11" s="1"/>
  <c r="P163" i="11" s="1"/>
  <c r="Y163" i="11" s="1"/>
  <c r="N55" i="11"/>
  <c r="O55" i="11" s="1"/>
  <c r="P55" i="11" s="1"/>
  <c r="Y55" i="11" s="1"/>
  <c r="N27" i="11"/>
  <c r="O27" i="11" s="1"/>
  <c r="P27" i="11" s="1"/>
  <c r="Y27" i="11" s="1"/>
  <c r="N95" i="11"/>
  <c r="O95" i="11" s="1"/>
  <c r="P95" i="11" s="1"/>
  <c r="Y95" i="11" s="1"/>
  <c r="O102" i="11"/>
  <c r="P102" i="11" s="1"/>
  <c r="Y102" i="11" s="1"/>
  <c r="O162" i="11"/>
  <c r="P162" i="11" s="1"/>
  <c r="Y162" i="11" s="1"/>
  <c r="O186" i="11"/>
  <c r="P186" i="11" s="1"/>
  <c r="Y186" i="11" s="1"/>
  <c r="N45" i="11"/>
  <c r="O45" i="11" s="1"/>
  <c r="P45" i="11" s="1"/>
  <c r="Y45" i="11" s="1"/>
  <c r="O151" i="11"/>
  <c r="P151" i="11" s="1"/>
  <c r="Y151" i="11" s="1"/>
  <c r="O19" i="11"/>
  <c r="P19" i="11" s="1"/>
  <c r="Y19" i="11" s="1"/>
  <c r="O40" i="11"/>
  <c r="P40" i="11" s="1"/>
  <c r="Y40" i="11" s="1"/>
  <c r="O78" i="11"/>
  <c r="P78" i="11" s="1"/>
  <c r="Y78" i="11" s="1"/>
  <c r="O88" i="11"/>
  <c r="P88" i="11" s="1"/>
  <c r="Y88" i="11" s="1"/>
  <c r="O122" i="11"/>
  <c r="P122" i="11" s="1"/>
  <c r="Y122" i="11" s="1"/>
  <c r="O136" i="11"/>
  <c r="P136" i="11" s="1"/>
  <c r="Y136" i="11" s="1"/>
  <c r="O94" i="11"/>
  <c r="P94" i="11" s="1"/>
  <c r="Y94" i="11" s="1"/>
  <c r="O195" i="11"/>
  <c r="P195" i="11" s="1"/>
  <c r="Y195" i="11" s="1"/>
  <c r="O6" i="11"/>
  <c r="P6" i="11" s="1"/>
  <c r="Y6" i="11" s="1"/>
  <c r="O41" i="11"/>
  <c r="P41" i="11" s="1"/>
  <c r="Y41" i="11" s="1"/>
  <c r="O184" i="11"/>
  <c r="O85" i="11"/>
  <c r="P85" i="11" s="1"/>
  <c r="Y85" i="11" s="1"/>
  <c r="N110" i="11"/>
  <c r="O110" i="11" s="1"/>
  <c r="P110" i="11" s="1"/>
  <c r="Y110" i="11" s="1"/>
  <c r="N130" i="11"/>
  <c r="O130" i="11" s="1"/>
  <c r="P130" i="11" s="1"/>
  <c r="Y130" i="11" s="1"/>
  <c r="N156" i="11"/>
  <c r="O156" i="11" s="1"/>
  <c r="P156" i="11" s="1"/>
  <c r="Y156" i="11" s="1"/>
  <c r="N13" i="11"/>
  <c r="O13" i="11" s="1"/>
  <c r="P13" i="11" s="1"/>
  <c r="Y13" i="11" s="1"/>
  <c r="N53" i="11"/>
  <c r="O53" i="11" s="1"/>
  <c r="P53" i="11" s="1"/>
  <c r="Y53" i="11" s="1"/>
  <c r="O69" i="11"/>
  <c r="P69" i="11" s="1"/>
  <c r="Y69" i="11" s="1"/>
  <c r="O87" i="11"/>
  <c r="P87" i="11" s="1"/>
  <c r="Y87" i="11" s="1"/>
  <c r="O75" i="11"/>
  <c r="P75" i="11" s="1"/>
  <c r="Y75" i="11" s="1"/>
  <c r="O145" i="11"/>
  <c r="P145" i="11" s="1"/>
  <c r="Y145" i="11" s="1"/>
  <c r="N153" i="11"/>
  <c r="O153" i="11" s="1"/>
  <c r="P153" i="11" s="1"/>
  <c r="Y153" i="11" s="1"/>
  <c r="O169" i="11"/>
  <c r="P169" i="11" s="1"/>
  <c r="Y169" i="11" s="1"/>
  <c r="O203" i="11"/>
  <c r="P203" i="11" s="1"/>
  <c r="Y203" i="11" s="1"/>
  <c r="N39" i="11"/>
  <c r="O39" i="11" s="1"/>
  <c r="P39" i="11" s="1"/>
  <c r="Y39" i="11" s="1"/>
  <c r="O119" i="11"/>
  <c r="P119" i="11" s="1"/>
  <c r="Y119" i="11" s="1"/>
  <c r="O143" i="11"/>
  <c r="P143" i="11" s="1"/>
  <c r="Y143" i="11" s="1"/>
  <c r="O192" i="11"/>
  <c r="P192" i="11" s="1"/>
  <c r="Y192" i="11" s="1"/>
  <c r="N201" i="11"/>
  <c r="O201" i="11" s="1"/>
  <c r="P201" i="11" s="1"/>
  <c r="Y201" i="11" s="1"/>
  <c r="N138" i="11"/>
  <c r="O138" i="11" s="1"/>
  <c r="P138" i="11" s="1"/>
  <c r="Y138" i="11" s="1"/>
  <c r="O4" i="11"/>
  <c r="P4" i="11" s="1"/>
  <c r="Y4" i="11" s="1"/>
  <c r="N113" i="11"/>
  <c r="O113" i="11" s="1"/>
  <c r="P113" i="11" s="1"/>
  <c r="Y113" i="11" s="1"/>
  <c r="O58" i="11"/>
  <c r="P58" i="11" s="1"/>
  <c r="Y58" i="11" s="1"/>
  <c r="O124" i="11"/>
  <c r="P124" i="11" s="1"/>
  <c r="Y124" i="11" s="1"/>
  <c r="N17" i="11"/>
  <c r="O17" i="11" s="1"/>
  <c r="P17" i="11" s="1"/>
  <c r="Y17" i="11" s="1"/>
  <c r="O33" i="11"/>
  <c r="P33" i="11" s="1"/>
  <c r="Y33" i="11" s="1"/>
  <c r="N191" i="11"/>
  <c r="O191" i="11" s="1"/>
  <c r="P191" i="11" s="1"/>
  <c r="Y191" i="11" s="1"/>
  <c r="N123" i="11"/>
  <c r="O123" i="11" s="1"/>
  <c r="P123" i="11" s="1"/>
  <c r="Y123" i="11" s="1"/>
  <c r="O99" i="11"/>
  <c r="P99" i="11" s="1"/>
  <c r="Y99" i="11" s="1"/>
  <c r="N68" i="11"/>
  <c r="O68" i="11" s="1"/>
  <c r="P68" i="11" s="1"/>
  <c r="Y68" i="11" s="1"/>
  <c r="N42" i="11"/>
  <c r="O42" i="11" s="1"/>
  <c r="P42" i="11" s="1"/>
  <c r="Y42" i="11" s="1"/>
  <c r="N80" i="11"/>
  <c r="O80" i="11" s="1"/>
  <c r="P80" i="11" s="1"/>
  <c r="Y80" i="11" s="1"/>
  <c r="N142" i="11"/>
  <c r="O142" i="11" s="1"/>
  <c r="P142" i="11" s="1"/>
  <c r="Y142" i="11" s="1"/>
  <c r="N180" i="11"/>
  <c r="O180" i="11" s="1"/>
  <c r="P180" i="11" s="1"/>
  <c r="Y180" i="11" s="1"/>
  <c r="N131" i="11"/>
  <c r="O131" i="11" s="1"/>
  <c r="P131" i="11" s="1"/>
  <c r="Y131" i="11" s="1"/>
  <c r="N28" i="11"/>
  <c r="O28" i="11" s="1"/>
  <c r="P28" i="11" s="1"/>
  <c r="Y28" i="11" s="1"/>
  <c r="N5" i="11"/>
  <c r="O5" i="11" s="1"/>
  <c r="P5" i="11" s="1"/>
  <c r="Y5" i="11" s="1"/>
  <c r="N72" i="11"/>
  <c r="O72" i="11" s="1"/>
  <c r="P72" i="11" s="1"/>
  <c r="Y72" i="11" s="1"/>
  <c r="O82" i="11"/>
  <c r="P82" i="11" s="1"/>
  <c r="Y82" i="11" s="1"/>
  <c r="N101" i="11"/>
  <c r="O101" i="11" s="1"/>
  <c r="P101" i="11" s="1"/>
  <c r="Y101" i="11" s="1"/>
  <c r="N54" i="11"/>
  <c r="O54" i="11" s="1"/>
  <c r="P54" i="11" s="1"/>
  <c r="Y54" i="11" s="1"/>
  <c r="N10" i="11"/>
  <c r="O10" i="11" s="1"/>
  <c r="P10" i="11" s="1"/>
  <c r="Y10" i="11" s="1"/>
  <c r="N16" i="11"/>
  <c r="O16" i="11" s="1"/>
  <c r="P16" i="11" s="1"/>
  <c r="Y16" i="11" s="1"/>
  <c r="O20" i="11"/>
  <c r="P20" i="11" s="1"/>
  <c r="Y20" i="11" s="1"/>
  <c r="N204" i="11"/>
  <c r="O204" i="11" s="1"/>
  <c r="P204" i="11" s="1"/>
  <c r="Y204" i="11" s="1"/>
  <c r="O59" i="11"/>
  <c r="P59" i="11" s="1"/>
  <c r="Y59" i="11" s="1"/>
  <c r="O90" i="11"/>
  <c r="P90" i="11" s="1"/>
  <c r="Y90" i="11" s="1"/>
  <c r="N112" i="11"/>
  <c r="O112" i="11" s="1"/>
  <c r="P112" i="11" s="1"/>
  <c r="Y112" i="11" s="1"/>
  <c r="N165" i="11"/>
  <c r="O165" i="11" s="1"/>
  <c r="P165" i="11" s="1"/>
  <c r="Y165" i="11" s="1"/>
  <c r="N159" i="11"/>
  <c r="O159" i="11" s="1"/>
  <c r="P159" i="11" s="1"/>
  <c r="Y159" i="11" s="1"/>
  <c r="N22" i="11"/>
  <c r="O22" i="11" s="1"/>
  <c r="P22" i="11" s="1"/>
  <c r="Y22" i="11" s="1"/>
  <c r="N14" i="11"/>
  <c r="O14" i="11" s="1"/>
  <c r="P14" i="11" s="1"/>
  <c r="Y14" i="11" s="1"/>
  <c r="N2" i="11"/>
  <c r="O2" i="11" s="1"/>
  <c r="P2" i="11" s="1"/>
  <c r="O25" i="11"/>
  <c r="P25" i="11" s="1"/>
  <c r="Y25" i="11" s="1"/>
  <c r="N34" i="11"/>
  <c r="O34" i="11" s="1"/>
  <c r="P34" i="11" s="1"/>
  <c r="Y34" i="11" s="1"/>
  <c r="O104" i="11"/>
  <c r="P104" i="11" s="1"/>
  <c r="Y104" i="11" s="1"/>
  <c r="N117" i="11"/>
  <c r="O117" i="11" s="1"/>
  <c r="P117" i="11" s="1"/>
  <c r="Y117" i="11" s="1"/>
  <c r="N26" i="11"/>
  <c r="O26" i="11" s="1"/>
  <c r="P26" i="11" s="1"/>
  <c r="Y26" i="11" s="1"/>
  <c r="N24" i="11"/>
  <c r="O24" i="11" s="1"/>
  <c r="P24" i="11" s="1"/>
  <c r="Y24" i="11" s="1"/>
  <c r="N61" i="11"/>
  <c r="O61" i="11" s="1"/>
  <c r="P61" i="11" s="1"/>
  <c r="Y61" i="11" s="1"/>
  <c r="N66" i="11"/>
  <c r="O66" i="11" s="1"/>
  <c r="P66" i="11" s="1"/>
  <c r="Y66" i="11" s="1"/>
  <c r="N83" i="11"/>
  <c r="O83" i="11" s="1"/>
  <c r="P83" i="11" s="1"/>
  <c r="Y83" i="11" s="1"/>
  <c r="N91" i="11"/>
  <c r="O91" i="11" s="1"/>
  <c r="P91" i="11" s="1"/>
  <c r="Y91" i="11" s="1"/>
  <c r="N168" i="11"/>
  <c r="O168" i="11" s="1"/>
  <c r="P168" i="11" s="1"/>
  <c r="Y168" i="11" s="1"/>
  <c r="N116" i="11"/>
  <c r="O116" i="11" s="1"/>
  <c r="P116" i="11" s="1"/>
  <c r="Y116" i="11" s="1"/>
  <c r="N126" i="11"/>
  <c r="O126" i="11" s="1"/>
  <c r="P126" i="11" s="1"/>
  <c r="Y126" i="11" s="1"/>
  <c r="N133" i="11"/>
  <c r="O133" i="11" s="1"/>
  <c r="P133" i="11" s="1"/>
  <c r="Y133" i="11" s="1"/>
  <c r="N137" i="11"/>
  <c r="O137" i="11" s="1"/>
  <c r="P137" i="11" s="1"/>
  <c r="Y137" i="11" s="1"/>
  <c r="N149" i="11"/>
  <c r="O149" i="11" s="1"/>
  <c r="P149" i="11" s="1"/>
  <c r="Y149" i="11" s="1"/>
  <c r="N160" i="11"/>
  <c r="O160" i="11" s="1"/>
  <c r="P160" i="11" s="1"/>
  <c r="Y160" i="11" s="1"/>
  <c r="N166" i="11"/>
  <c r="O166" i="11" s="1"/>
  <c r="P166" i="11" s="1"/>
  <c r="Y166" i="11" s="1"/>
  <c r="N178" i="11"/>
  <c r="O178" i="11" s="1"/>
  <c r="P178" i="11" s="1"/>
  <c r="Y178" i="11" s="1"/>
  <c r="N103" i="11"/>
  <c r="O103" i="11" s="1"/>
  <c r="P103" i="11" s="1"/>
  <c r="Y103" i="11" s="1"/>
  <c r="N144" i="11"/>
  <c r="O144" i="11" s="1"/>
  <c r="P144" i="11" s="1"/>
  <c r="Y144" i="11" s="1"/>
  <c r="N154" i="11"/>
  <c r="O154" i="11" s="1"/>
  <c r="P154" i="11" s="1"/>
  <c r="Y154" i="11" s="1"/>
  <c r="N173" i="11"/>
  <c r="O173" i="11" s="1"/>
  <c r="P173" i="11" s="1"/>
  <c r="Y173" i="11" s="1"/>
  <c r="N185" i="11"/>
  <c r="O185" i="11" s="1"/>
  <c r="P185" i="11" s="1"/>
  <c r="Y185" i="11" s="1"/>
  <c r="N193" i="11"/>
  <c r="O193" i="11" s="1"/>
  <c r="P193" i="11" s="1"/>
  <c r="Y193" i="11" s="1"/>
  <c r="N62" i="11"/>
  <c r="O62" i="11" s="1"/>
  <c r="P62" i="11" s="1"/>
  <c r="Y62" i="11" s="1"/>
  <c r="C7" i="6"/>
  <c r="E26" i="12" l="1"/>
  <c r="P184" i="11"/>
  <c r="Y184" i="11" s="1"/>
  <c r="F5" i="12"/>
  <c r="Y2" i="11"/>
  <c r="C11" i="6"/>
  <c r="C14" i="6"/>
  <c r="C6" i="12"/>
  <c r="E4" i="12"/>
  <c r="E3" i="12"/>
  <c r="E7" i="12"/>
  <c r="E2" i="12"/>
  <c r="E23" i="12" l="1"/>
  <c r="E28" i="12"/>
  <c r="E24" i="12"/>
  <c r="E25" i="12"/>
  <c r="F26" i="12"/>
  <c r="P209" i="11"/>
  <c r="Y209" i="11"/>
  <c r="F7" i="12"/>
  <c r="F3" i="12"/>
  <c r="F4" i="12"/>
  <c r="G4" i="12" s="1"/>
  <c r="C7" i="12"/>
  <c r="C4" i="12"/>
  <c r="C3" i="12"/>
  <c r="C2" i="12"/>
  <c r="C5" i="12"/>
  <c r="F2" i="12"/>
  <c r="I2" i="12" s="1"/>
  <c r="F23" i="12" l="1"/>
  <c r="F25" i="12"/>
  <c r="F24" i="12"/>
  <c r="F28" i="12"/>
  <c r="L5" i="12"/>
  <c r="G26" i="12"/>
  <c r="D14" i="6"/>
  <c r="E14" i="6" s="1"/>
  <c r="AA10" i="6"/>
  <c r="Z10" i="6"/>
  <c r="Y10" i="6"/>
  <c r="X10" i="6"/>
  <c r="W10" i="6"/>
  <c r="V10" i="6"/>
  <c r="U10" i="6"/>
  <c r="T10" i="6"/>
  <c r="P10" i="6"/>
  <c r="O10" i="6"/>
  <c r="N10" i="6"/>
  <c r="M10" i="6"/>
  <c r="L10" i="6"/>
  <c r="J10" i="6"/>
  <c r="I10" i="6"/>
  <c r="H10" i="6"/>
  <c r="G10" i="6"/>
  <c r="F10" i="6"/>
  <c r="E10" i="6"/>
  <c r="D10" i="6"/>
  <c r="L3" i="12" l="1"/>
  <c r="G24" i="12"/>
  <c r="L7" i="12"/>
  <c r="G28" i="12"/>
  <c r="L4" i="12"/>
  <c r="G25" i="12"/>
  <c r="L2" i="12"/>
  <c r="G23" i="12"/>
  <c r="G29" i="12" s="1"/>
  <c r="K10" i="6"/>
  <c r="L9" i="12" l="1"/>
  <c r="H128" i="2"/>
  <c r="H124" i="2"/>
  <c r="H108" i="2"/>
  <c r="H53" i="2"/>
  <c r="H41" i="2"/>
  <c r="H36" i="2"/>
  <c r="H20" i="2"/>
  <c r="H10" i="2"/>
  <c r="BD10" i="2" l="1"/>
  <c r="BH10" i="2"/>
  <c r="AM10" i="2"/>
  <c r="AP10" i="2"/>
  <c r="BI10" i="2"/>
  <c r="AK10" i="2"/>
  <c r="BG10" i="2"/>
  <c r="BF10" i="2"/>
  <c r="AU10" i="2"/>
  <c r="AR10" i="2"/>
  <c r="BC10" i="2"/>
  <c r="AW10" i="2"/>
  <c r="AS10" i="2"/>
  <c r="AO10" i="2"/>
  <c r="AN10" i="2"/>
  <c r="AL10" i="2"/>
  <c r="AV10" i="2"/>
  <c r="AT10" i="2"/>
  <c r="AQ10" i="2"/>
  <c r="BB10" i="2"/>
  <c r="AX10" i="2"/>
  <c r="BA10" i="2"/>
  <c r="AZ10" i="2"/>
  <c r="BE10" i="2"/>
  <c r="AY10" i="2"/>
  <c r="AT20" i="2"/>
  <c r="BG20" i="2"/>
  <c r="AM20" i="2"/>
  <c r="BB20" i="2"/>
  <c r="AZ20" i="2"/>
  <c r="AU20" i="2"/>
  <c r="BE20" i="2"/>
  <c r="BD20" i="2"/>
  <c r="BC20" i="2"/>
  <c r="BF20" i="2"/>
  <c r="AX20" i="2"/>
  <c r="AL20" i="2"/>
  <c r="BH20" i="2"/>
  <c r="BA20" i="2"/>
  <c r="AY20" i="2"/>
  <c r="AV20" i="2"/>
  <c r="AS20" i="2"/>
  <c r="BI20" i="2"/>
  <c r="AW20" i="2"/>
  <c r="AR20" i="2"/>
  <c r="AO20" i="2"/>
  <c r="AQ20" i="2"/>
  <c r="AP20" i="2"/>
  <c r="AK20" i="2"/>
  <c r="AN20" i="2"/>
  <c r="AT36" i="2"/>
  <c r="BG36" i="2"/>
  <c r="AM36" i="2"/>
  <c r="BB36" i="2"/>
  <c r="AZ36" i="2"/>
  <c r="AP36" i="2"/>
  <c r="BC36" i="2"/>
  <c r="BH36" i="2"/>
  <c r="BF36" i="2"/>
  <c r="BE36" i="2"/>
  <c r="AU36" i="2"/>
  <c r="BD36" i="2"/>
  <c r="BA36" i="2"/>
  <c r="BI36" i="2"/>
  <c r="AW36" i="2"/>
  <c r="AV36" i="2"/>
  <c r="AS36" i="2"/>
  <c r="AO36" i="2"/>
  <c r="AN36" i="2"/>
  <c r="AY36" i="2"/>
  <c r="AX36" i="2"/>
  <c r="AR36" i="2"/>
  <c r="AQ36" i="2"/>
  <c r="AL36" i="2"/>
  <c r="AK36" i="2"/>
  <c r="BI41" i="2"/>
  <c r="AO41" i="2"/>
  <c r="BB41" i="2"/>
  <c r="AN41" i="2"/>
  <c r="BH41" i="2"/>
  <c r="AL41" i="2"/>
  <c r="BF41" i="2"/>
  <c r="AQ41" i="2"/>
  <c r="BA41" i="2"/>
  <c r="AT41" i="2"/>
  <c r="AS41" i="2"/>
  <c r="AR41" i="2"/>
  <c r="AK41" i="2"/>
  <c r="AZ41" i="2"/>
  <c r="BD41" i="2"/>
  <c r="BC41" i="2"/>
  <c r="AY41" i="2"/>
  <c r="AW41" i="2"/>
  <c r="AV41" i="2"/>
  <c r="AP41" i="2"/>
  <c r="AM41" i="2"/>
  <c r="BG41" i="2"/>
  <c r="AX41" i="2"/>
  <c r="AU41" i="2"/>
  <c r="BE41" i="2"/>
  <c r="BI53" i="2"/>
  <c r="AO53" i="2"/>
  <c r="BH53" i="2"/>
  <c r="AN53" i="2"/>
  <c r="BB53" i="2"/>
  <c r="BA53" i="2"/>
  <c r="AY53" i="2"/>
  <c r="AW53" i="2"/>
  <c r="BF53" i="2"/>
  <c r="BE53" i="2"/>
  <c r="AR53" i="2"/>
  <c r="AM53" i="2"/>
  <c r="AL53" i="2"/>
  <c r="AK53" i="2"/>
  <c r="AZ53" i="2"/>
  <c r="AU53" i="2"/>
  <c r="AQ53" i="2"/>
  <c r="AP53" i="2"/>
  <c r="BG53" i="2"/>
  <c r="BD53" i="2"/>
  <c r="BC53" i="2"/>
  <c r="AS53" i="2"/>
  <c r="AV53" i="2"/>
  <c r="AX53" i="2"/>
  <c r="AT53" i="2"/>
  <c r="BH108" i="2"/>
  <c r="AN108" i="2"/>
  <c r="BC108" i="2"/>
  <c r="AZ108" i="2"/>
  <c r="AM108" i="2"/>
  <c r="BE108" i="2"/>
  <c r="AO108" i="2"/>
  <c r="AL108" i="2"/>
  <c r="BD108" i="2"/>
  <c r="AK108" i="2"/>
  <c r="AY108" i="2"/>
  <c r="AX108" i="2"/>
  <c r="AW108" i="2"/>
  <c r="BI108" i="2"/>
  <c r="BG108" i="2"/>
  <c r="BF108" i="2"/>
  <c r="AR108" i="2"/>
  <c r="AV108" i="2"/>
  <c r="BB108" i="2"/>
  <c r="BA108" i="2"/>
  <c r="AU108" i="2"/>
  <c r="AT108" i="2"/>
  <c r="AS108" i="2"/>
  <c r="AP108" i="2"/>
  <c r="AQ108" i="2"/>
  <c r="BH124" i="2"/>
  <c r="AN124" i="2"/>
  <c r="BC124" i="2"/>
  <c r="AZ124" i="2"/>
  <c r="BI124" i="2"/>
  <c r="AK124" i="2"/>
  <c r="BB124" i="2"/>
  <c r="BD124" i="2"/>
  <c r="BA124" i="2"/>
  <c r="AT124" i="2"/>
  <c r="AW124" i="2"/>
  <c r="AL124" i="2"/>
  <c r="AY124" i="2"/>
  <c r="AP124" i="2"/>
  <c r="BF124" i="2"/>
  <c r="AX124" i="2"/>
  <c r="AS124" i="2"/>
  <c r="AO124" i="2"/>
  <c r="BG124" i="2"/>
  <c r="BE124" i="2"/>
  <c r="AR124" i="2"/>
  <c r="AM124" i="2"/>
  <c r="AV124" i="2"/>
  <c r="AU124" i="2"/>
  <c r="AQ124" i="2"/>
  <c r="BH128" i="2"/>
  <c r="AN128" i="2"/>
  <c r="BC128" i="2"/>
  <c r="AP128" i="2"/>
  <c r="BA128" i="2"/>
  <c r="AV128" i="2"/>
  <c r="BG128" i="2"/>
  <c r="BF128" i="2"/>
  <c r="AX128" i="2"/>
  <c r="BE128" i="2"/>
  <c r="BB128" i="2"/>
  <c r="AY128" i="2"/>
  <c r="AQ128" i="2"/>
  <c r="AU128" i="2"/>
  <c r="AT128" i="2"/>
  <c r="BI128" i="2"/>
  <c r="BD128" i="2"/>
  <c r="AZ128" i="2"/>
  <c r="AR128" i="2"/>
  <c r="AO128" i="2"/>
  <c r="AW128" i="2"/>
  <c r="AS128" i="2"/>
  <c r="AM128" i="2"/>
  <c r="AL128" i="2"/>
  <c r="AK128" i="2"/>
  <c r="H49" i="2"/>
  <c r="AK49" i="2" s="1"/>
  <c r="H112" i="2"/>
  <c r="H9" i="2"/>
  <c r="H4" i="2"/>
  <c r="H13" i="2"/>
  <c r="H40" i="2"/>
  <c r="H120" i="2"/>
  <c r="H29" i="2"/>
  <c r="H33" i="2"/>
  <c r="H45" i="2"/>
  <c r="H17" i="2"/>
  <c r="H25" i="2"/>
  <c r="H63" i="2"/>
  <c r="H71" i="2"/>
  <c r="H80" i="2"/>
  <c r="H88" i="2"/>
  <c r="H96" i="2"/>
  <c r="H104" i="2"/>
  <c r="H129" i="2"/>
  <c r="H5" i="2"/>
  <c r="H125" i="2"/>
  <c r="H21" i="2"/>
  <c r="H37" i="2"/>
  <c r="H44" i="2"/>
  <c r="H57" i="2"/>
  <c r="H67" i="2"/>
  <c r="AK67" i="2" s="1"/>
  <c r="H75" i="2"/>
  <c r="H84" i="2"/>
  <c r="H92" i="2"/>
  <c r="H100" i="2"/>
  <c r="H116" i="2"/>
  <c r="H52" i="2"/>
  <c r="H121" i="2"/>
  <c r="H43" i="2"/>
  <c r="H48" i="2"/>
  <c r="H19" i="2"/>
  <c r="H8" i="2"/>
  <c r="H32" i="2"/>
  <c r="H15" i="2"/>
  <c r="H12" i="2"/>
  <c r="H55" i="2"/>
  <c r="H28" i="2"/>
  <c r="H24" i="2"/>
  <c r="H16" i="2"/>
  <c r="H23" i="2"/>
  <c r="H35" i="2"/>
  <c r="H127" i="2"/>
  <c r="H7" i="2"/>
  <c r="H11" i="2"/>
  <c r="H3" i="2"/>
  <c r="H39" i="2"/>
  <c r="H51" i="2"/>
  <c r="H56" i="2"/>
  <c r="H66" i="2"/>
  <c r="H74" i="2"/>
  <c r="H83" i="2"/>
  <c r="H91" i="2"/>
  <c r="H99" i="2"/>
  <c r="H107" i="2"/>
  <c r="H115" i="2"/>
  <c r="H123" i="2"/>
  <c r="H31" i="2"/>
  <c r="H27" i="2"/>
  <c r="H47" i="2"/>
  <c r="H62" i="2"/>
  <c r="H70" i="2"/>
  <c r="H79" i="2"/>
  <c r="H87" i="2"/>
  <c r="H95" i="2"/>
  <c r="H103" i="2"/>
  <c r="H111" i="2"/>
  <c r="H119" i="2"/>
  <c r="H60" i="2"/>
  <c r="H65" i="2"/>
  <c r="H69" i="2"/>
  <c r="H73" i="2"/>
  <c r="H77" i="2"/>
  <c r="H82" i="2"/>
  <c r="H86" i="2"/>
  <c r="H90" i="2"/>
  <c r="H94" i="2"/>
  <c r="H98" i="2"/>
  <c r="H102" i="2"/>
  <c r="H106" i="2"/>
  <c r="H110" i="2"/>
  <c r="H114" i="2"/>
  <c r="H118" i="2"/>
  <c r="H122" i="2"/>
  <c r="H126" i="2"/>
  <c r="H130" i="2"/>
  <c r="H6" i="2"/>
  <c r="H14" i="2"/>
  <c r="H18" i="2"/>
  <c r="H22" i="2"/>
  <c r="H26" i="2"/>
  <c r="H30" i="2"/>
  <c r="H34" i="2"/>
  <c r="H38" i="2"/>
  <c r="H42" i="2"/>
  <c r="H46" i="2"/>
  <c r="H50" i="2"/>
  <c r="H54" i="2"/>
  <c r="H58" i="2"/>
  <c r="H64" i="2"/>
  <c r="H68" i="2"/>
  <c r="H72" i="2"/>
  <c r="H76" i="2"/>
  <c r="H81" i="2"/>
  <c r="H85" i="2"/>
  <c r="AK85" i="2" s="1"/>
  <c r="H89" i="2"/>
  <c r="H93" i="2"/>
  <c r="H97" i="2"/>
  <c r="H101" i="2"/>
  <c r="H105" i="2"/>
  <c r="H109" i="2"/>
  <c r="H113" i="2"/>
  <c r="H117" i="2"/>
  <c r="BM128" i="2" l="1"/>
  <c r="AT12" i="2"/>
  <c r="BG12" i="2"/>
  <c r="AZ12" i="2"/>
  <c r="BF12" i="2"/>
  <c r="BE12" i="2"/>
  <c r="BD12" i="2"/>
  <c r="BC12" i="2"/>
  <c r="AX12" i="2"/>
  <c r="AU12" i="2"/>
  <c r="AK12" i="2"/>
  <c r="AW12" i="2"/>
  <c r="AV12" i="2"/>
  <c r="AS12" i="2"/>
  <c r="AQ12" i="2"/>
  <c r="AP12" i="2"/>
  <c r="AN12" i="2"/>
  <c r="AM12" i="2"/>
  <c r="AL12" i="2"/>
  <c r="BI12" i="2"/>
  <c r="BA12" i="2"/>
  <c r="BB12" i="2"/>
  <c r="AY12" i="2"/>
  <c r="AR12" i="2"/>
  <c r="BH12" i="2"/>
  <c r="AO12" i="2"/>
  <c r="AS107" i="2"/>
  <c r="BH107" i="2"/>
  <c r="AN107" i="2"/>
  <c r="BC107" i="2"/>
  <c r="AO107" i="2"/>
  <c r="BF107" i="2"/>
  <c r="AL107" i="2"/>
  <c r="AK107" i="2"/>
  <c r="BB107" i="2"/>
  <c r="BG107" i="2"/>
  <c r="BD107" i="2"/>
  <c r="AV107" i="2"/>
  <c r="AP107" i="2"/>
  <c r="AM107" i="2"/>
  <c r="BE107" i="2"/>
  <c r="AU107" i="2"/>
  <c r="AT107" i="2"/>
  <c r="AR107" i="2"/>
  <c r="AQ107" i="2"/>
  <c r="AW107" i="2"/>
  <c r="AZ107" i="2"/>
  <c r="BI107" i="2"/>
  <c r="BA107" i="2"/>
  <c r="AY107" i="2"/>
  <c r="AX107" i="2"/>
  <c r="BC129" i="2"/>
  <c r="AX129" i="2"/>
  <c r="BI129" i="2"/>
  <c r="AM129" i="2"/>
  <c r="AZ129" i="2"/>
  <c r="AT129" i="2"/>
  <c r="BH129" i="2"/>
  <c r="BG129" i="2"/>
  <c r="AY129" i="2"/>
  <c r="BE129" i="2"/>
  <c r="AU129" i="2"/>
  <c r="AQ129" i="2"/>
  <c r="AL129" i="2"/>
  <c r="AK129" i="2"/>
  <c r="AN129" i="2"/>
  <c r="BB129" i="2"/>
  <c r="BA129" i="2"/>
  <c r="AS129" i="2"/>
  <c r="AO129" i="2"/>
  <c r="AR129" i="2"/>
  <c r="AP129" i="2"/>
  <c r="BF129" i="2"/>
  <c r="BD129" i="2"/>
  <c r="AW129" i="2"/>
  <c r="AV129" i="2"/>
  <c r="BD38" i="2"/>
  <c r="AW38" i="2"/>
  <c r="AV38" i="2"/>
  <c r="AT38" i="2"/>
  <c r="AO38" i="2"/>
  <c r="BB38" i="2"/>
  <c r="AK38" i="2"/>
  <c r="BI38" i="2"/>
  <c r="AX38" i="2"/>
  <c r="AR38" i="2"/>
  <c r="BH38" i="2"/>
  <c r="BA38" i="2"/>
  <c r="AZ38" i="2"/>
  <c r="AY38" i="2"/>
  <c r="AS38" i="2"/>
  <c r="AQ38" i="2"/>
  <c r="BE38" i="2"/>
  <c r="BC38" i="2"/>
  <c r="AP38" i="2"/>
  <c r="AN38" i="2"/>
  <c r="AL38" i="2"/>
  <c r="BG38" i="2"/>
  <c r="BF38" i="2"/>
  <c r="AU38" i="2"/>
  <c r="AM38" i="2"/>
  <c r="BD34" i="2"/>
  <c r="AW34" i="2"/>
  <c r="BH34" i="2"/>
  <c r="AL34" i="2"/>
  <c r="BF34" i="2"/>
  <c r="AQ34" i="2"/>
  <c r="BB34" i="2"/>
  <c r="BA34" i="2"/>
  <c r="AZ34" i="2"/>
  <c r="AY34" i="2"/>
  <c r="AX34" i="2"/>
  <c r="AT34" i="2"/>
  <c r="AN34" i="2"/>
  <c r="AM34" i="2"/>
  <c r="AK34" i="2"/>
  <c r="BI34" i="2"/>
  <c r="BE34" i="2"/>
  <c r="BC34" i="2"/>
  <c r="AS34" i="2"/>
  <c r="AV34" i="2"/>
  <c r="AR34" i="2"/>
  <c r="AU34" i="2"/>
  <c r="BG34" i="2"/>
  <c r="AP34" i="2"/>
  <c r="AO34" i="2"/>
  <c r="BC77" i="2"/>
  <c r="AX77" i="2"/>
  <c r="AW77" i="2"/>
  <c r="AP77" i="2"/>
  <c r="BH77" i="2"/>
  <c r="AK77" i="2"/>
  <c r="BI77" i="2"/>
  <c r="BG77" i="2"/>
  <c r="AZ77" i="2"/>
  <c r="AU77" i="2"/>
  <c r="AS77" i="2"/>
  <c r="AQ77" i="2"/>
  <c r="AT77" i="2"/>
  <c r="BF77" i="2"/>
  <c r="BB77" i="2"/>
  <c r="AR77" i="2"/>
  <c r="AM77" i="2"/>
  <c r="AO77" i="2"/>
  <c r="AN77" i="2"/>
  <c r="AL77" i="2"/>
  <c r="BE77" i="2"/>
  <c r="BA77" i="2"/>
  <c r="BD77" i="2"/>
  <c r="AY77" i="2"/>
  <c r="AV77" i="2"/>
  <c r="BC73" i="2"/>
  <c r="AX73" i="2"/>
  <c r="BI73" i="2"/>
  <c r="AM73" i="2"/>
  <c r="AV73" i="2"/>
  <c r="AQ73" i="2"/>
  <c r="BE73" i="2"/>
  <c r="BD73" i="2"/>
  <c r="AU73" i="2"/>
  <c r="BF73" i="2"/>
  <c r="BA73" i="2"/>
  <c r="AY73" i="2"/>
  <c r="BG73" i="2"/>
  <c r="BB73" i="2"/>
  <c r="AL73" i="2"/>
  <c r="AT73" i="2"/>
  <c r="AS73" i="2"/>
  <c r="AR73" i="2"/>
  <c r="AP73" i="2"/>
  <c r="AW73" i="2"/>
  <c r="BH73" i="2"/>
  <c r="AZ73" i="2"/>
  <c r="AO73" i="2"/>
  <c r="AK73" i="2"/>
  <c r="AN73" i="2"/>
  <c r="AX74" i="2"/>
  <c r="AS74" i="2"/>
  <c r="BF74" i="2"/>
  <c r="AU74" i="2"/>
  <c r="AO74" i="2"/>
  <c r="BE74" i="2"/>
  <c r="BD74" i="2"/>
  <c r="AW74" i="2"/>
  <c r="BH74" i="2"/>
  <c r="AV74" i="2"/>
  <c r="AY74" i="2"/>
  <c r="BA74" i="2"/>
  <c r="AR74" i="2"/>
  <c r="AZ74" i="2"/>
  <c r="AT74" i="2"/>
  <c r="AQ74" i="2"/>
  <c r="AP74" i="2"/>
  <c r="AM74" i="2"/>
  <c r="BG74" i="2"/>
  <c r="BB74" i="2"/>
  <c r="AN74" i="2"/>
  <c r="AL74" i="2"/>
  <c r="BM36" i="2"/>
  <c r="AU65" i="2"/>
  <c r="AO65" i="2"/>
  <c r="BD65" i="2"/>
  <c r="BC65" i="2"/>
  <c r="AW65" i="2"/>
  <c r="AY65" i="2"/>
  <c r="AV65" i="2"/>
  <c r="AS65" i="2"/>
  <c r="AX65" i="2"/>
  <c r="AT65" i="2"/>
  <c r="AR65" i="2"/>
  <c r="AQ65" i="2"/>
  <c r="AP65" i="2"/>
  <c r="AN65" i="2"/>
  <c r="BE65" i="2"/>
  <c r="AZ65" i="2"/>
  <c r="AL65" i="2"/>
  <c r="AK65" i="2"/>
  <c r="BI65" i="2"/>
  <c r="BF65" i="2"/>
  <c r="AM65" i="2"/>
  <c r="BH65" i="2"/>
  <c r="BG65" i="2"/>
  <c r="BB65" i="2"/>
  <c r="BA65" i="2"/>
  <c r="BM53" i="2"/>
  <c r="BD18" i="2"/>
  <c r="AW18" i="2"/>
  <c r="BF18" i="2"/>
  <c r="AV18" i="2"/>
  <c r="BC18" i="2"/>
  <c r="BB18" i="2"/>
  <c r="BA18" i="2"/>
  <c r="AS18" i="2"/>
  <c r="AP18" i="2"/>
  <c r="BH18" i="2"/>
  <c r="AL18" i="2"/>
  <c r="AK18" i="2"/>
  <c r="AY18" i="2"/>
  <c r="AU18" i="2"/>
  <c r="AX18" i="2"/>
  <c r="BE18" i="2"/>
  <c r="BI18" i="2"/>
  <c r="BG18" i="2"/>
  <c r="AZ18" i="2"/>
  <c r="AT18" i="2"/>
  <c r="AN18" i="2"/>
  <c r="AR18" i="2"/>
  <c r="AQ18" i="2"/>
  <c r="AO18" i="2"/>
  <c r="AM18" i="2"/>
  <c r="BE63" i="2"/>
  <c r="AK63" i="2"/>
  <c r="AW63" i="2"/>
  <c r="AN63" i="2"/>
  <c r="BI63" i="2"/>
  <c r="AM63" i="2"/>
  <c r="BB63" i="2"/>
  <c r="AV63" i="2"/>
  <c r="AT63" i="2"/>
  <c r="AR63" i="2"/>
  <c r="BA63" i="2"/>
  <c r="BH63" i="2"/>
  <c r="BG63" i="2"/>
  <c r="BF63" i="2"/>
  <c r="BD63" i="2"/>
  <c r="BC63" i="2"/>
  <c r="AO63" i="2"/>
  <c r="AL63" i="2"/>
  <c r="AP63" i="2"/>
  <c r="AU63" i="2"/>
  <c r="AZ63" i="2"/>
  <c r="AS63" i="2"/>
  <c r="AQ63" i="2"/>
  <c r="AY63" i="2"/>
  <c r="BD14" i="2"/>
  <c r="AW14" i="2"/>
  <c r="AT14" i="2"/>
  <c r="BC14" i="2"/>
  <c r="BF14" i="2"/>
  <c r="BE14" i="2"/>
  <c r="BB14" i="2"/>
  <c r="BI14" i="2"/>
  <c r="BA14" i="2"/>
  <c r="AP14" i="2"/>
  <c r="AK14" i="2"/>
  <c r="AN14" i="2"/>
  <c r="BH14" i="2"/>
  <c r="AM14" i="2"/>
  <c r="AL14" i="2"/>
  <c r="BG14" i="2"/>
  <c r="AY14" i="2"/>
  <c r="AZ14" i="2"/>
  <c r="AO14" i="2"/>
  <c r="AX14" i="2"/>
  <c r="AU14" i="2"/>
  <c r="AS14" i="2"/>
  <c r="AR14" i="2"/>
  <c r="AV14" i="2"/>
  <c r="AQ14" i="2"/>
  <c r="AY51" i="2"/>
  <c r="AR51" i="2"/>
  <c r="BE51" i="2"/>
  <c r="BC51" i="2"/>
  <c r="BA51" i="2"/>
  <c r="AZ51" i="2"/>
  <c r="AX51" i="2"/>
  <c r="AN51" i="2"/>
  <c r="BG51" i="2"/>
  <c r="BF51" i="2"/>
  <c r="BD51" i="2"/>
  <c r="BI51" i="2"/>
  <c r="AP51" i="2"/>
  <c r="AT51" i="2"/>
  <c r="AS51" i="2"/>
  <c r="AQ51" i="2"/>
  <c r="AM51" i="2"/>
  <c r="AL51" i="2"/>
  <c r="BH51" i="2"/>
  <c r="AV51" i="2"/>
  <c r="AK51" i="2"/>
  <c r="BB51" i="2"/>
  <c r="AW51" i="2"/>
  <c r="AO51" i="2"/>
  <c r="AU51" i="2"/>
  <c r="BI25" i="2"/>
  <c r="AO25" i="2"/>
  <c r="BB25" i="2"/>
  <c r="AN25" i="2"/>
  <c r="BH25" i="2"/>
  <c r="AL25" i="2"/>
  <c r="AT25" i="2"/>
  <c r="BG25" i="2"/>
  <c r="BF25" i="2"/>
  <c r="AZ25" i="2"/>
  <c r="AW25" i="2"/>
  <c r="AP25" i="2"/>
  <c r="AM25" i="2"/>
  <c r="AK25" i="2"/>
  <c r="AS25" i="2"/>
  <c r="AR25" i="2"/>
  <c r="AQ25" i="2"/>
  <c r="BE25" i="2"/>
  <c r="BC25" i="2"/>
  <c r="AU25" i="2"/>
  <c r="BA25" i="2"/>
  <c r="AY25" i="2"/>
  <c r="AX25" i="2"/>
  <c r="AV25" i="2"/>
  <c r="BD25" i="2"/>
  <c r="BC89" i="2"/>
  <c r="AX89" i="2"/>
  <c r="BI89" i="2"/>
  <c r="AM89" i="2"/>
  <c r="AT89" i="2"/>
  <c r="AO89" i="2"/>
  <c r="AU89" i="2"/>
  <c r="AS89" i="2"/>
  <c r="AK89" i="2"/>
  <c r="BB89" i="2"/>
  <c r="AZ89" i="2"/>
  <c r="AW89" i="2"/>
  <c r="AL89" i="2"/>
  <c r="AY89" i="2"/>
  <c r="AR89" i="2"/>
  <c r="AQ89" i="2"/>
  <c r="AP89" i="2"/>
  <c r="BH89" i="2"/>
  <c r="BG89" i="2"/>
  <c r="BF89" i="2"/>
  <c r="BE89" i="2"/>
  <c r="BD89" i="2"/>
  <c r="AN89" i="2"/>
  <c r="BA89" i="2"/>
  <c r="AV89" i="2"/>
  <c r="AX130" i="2"/>
  <c r="AS130" i="2"/>
  <c r="BF130" i="2"/>
  <c r="AY130" i="2"/>
  <c r="AR130" i="2"/>
  <c r="BI130" i="2"/>
  <c r="BH130" i="2"/>
  <c r="BA130" i="2"/>
  <c r="AM130" i="2"/>
  <c r="AK130" i="2"/>
  <c r="BB130" i="2"/>
  <c r="AN130" i="2"/>
  <c r="AL130" i="2"/>
  <c r="BD130" i="2"/>
  <c r="BC130" i="2"/>
  <c r="AZ130" i="2"/>
  <c r="AW130" i="2"/>
  <c r="AV130" i="2"/>
  <c r="AU130" i="2"/>
  <c r="BG130" i="2"/>
  <c r="AT130" i="2"/>
  <c r="AO130" i="2"/>
  <c r="AQ130" i="2"/>
  <c r="AP130" i="2"/>
  <c r="BE130" i="2"/>
  <c r="AY3" i="2"/>
  <c r="AS3" i="2"/>
  <c r="BI3" i="2"/>
  <c r="AM3" i="2"/>
  <c r="AW3" i="2"/>
  <c r="AV3" i="2"/>
  <c r="AU3" i="2"/>
  <c r="BE3" i="2"/>
  <c r="BB3" i="2"/>
  <c r="AN3" i="2"/>
  <c r="AX3" i="2"/>
  <c r="AT3" i="2"/>
  <c r="AR3" i="2"/>
  <c r="AP3" i="2"/>
  <c r="AO3" i="2"/>
  <c r="BC3" i="2"/>
  <c r="AQ3" i="2"/>
  <c r="BA3" i="2"/>
  <c r="AZ3" i="2"/>
  <c r="AL3" i="2"/>
  <c r="AK3" i="2"/>
  <c r="BG3" i="2"/>
  <c r="BF3" i="2"/>
  <c r="BD3" i="2"/>
  <c r="BH3" i="2"/>
  <c r="BI45" i="2"/>
  <c r="AO45" i="2"/>
  <c r="BB45" i="2"/>
  <c r="AY45" i="2"/>
  <c r="AW45" i="2"/>
  <c r="AU45" i="2"/>
  <c r="AS45" i="2"/>
  <c r="BG45" i="2"/>
  <c r="BH45" i="2"/>
  <c r="BF45" i="2"/>
  <c r="AP45" i="2"/>
  <c r="AL45" i="2"/>
  <c r="BC45" i="2"/>
  <c r="AK45" i="2"/>
  <c r="AZ45" i="2"/>
  <c r="AT45" i="2"/>
  <c r="AN45" i="2"/>
  <c r="AM45" i="2"/>
  <c r="AX45" i="2"/>
  <c r="AV45" i="2"/>
  <c r="AR45" i="2"/>
  <c r="AQ45" i="2"/>
  <c r="BD45" i="2"/>
  <c r="BA45" i="2"/>
  <c r="BE45" i="2"/>
  <c r="AY11" i="2"/>
  <c r="BD11" i="2"/>
  <c r="BI11" i="2"/>
  <c r="AM11" i="2"/>
  <c r="BG11" i="2"/>
  <c r="BF11" i="2"/>
  <c r="BE11" i="2"/>
  <c r="AV11" i="2"/>
  <c r="AS11" i="2"/>
  <c r="AQ11" i="2"/>
  <c r="AP11" i="2"/>
  <c r="AO11" i="2"/>
  <c r="AL11" i="2"/>
  <c r="AK11" i="2"/>
  <c r="BH11" i="2"/>
  <c r="BA11" i="2"/>
  <c r="AZ11" i="2"/>
  <c r="AU11" i="2"/>
  <c r="AT11" i="2"/>
  <c r="AX11" i="2"/>
  <c r="BC11" i="2"/>
  <c r="BB11" i="2"/>
  <c r="AW11" i="2"/>
  <c r="AN11" i="2"/>
  <c r="AR11" i="2"/>
  <c r="BC81" i="2"/>
  <c r="AX81" i="2"/>
  <c r="BI81" i="2"/>
  <c r="AM81" i="2"/>
  <c r="BG81" i="2"/>
  <c r="BA81" i="2"/>
  <c r="AN81" i="2"/>
  <c r="AL81" i="2"/>
  <c r="BD81" i="2"/>
  <c r="AP81" i="2"/>
  <c r="AK81" i="2"/>
  <c r="BB81" i="2"/>
  <c r="AQ81" i="2"/>
  <c r="AO81" i="2"/>
  <c r="BF81" i="2"/>
  <c r="BH81" i="2"/>
  <c r="AR81" i="2"/>
  <c r="BE81" i="2"/>
  <c r="AZ81" i="2"/>
  <c r="AY81" i="2"/>
  <c r="AW81" i="2"/>
  <c r="AV81" i="2"/>
  <c r="AT81" i="2"/>
  <c r="AU81" i="2"/>
  <c r="AS81" i="2"/>
  <c r="AS87" i="2"/>
  <c r="BH87" i="2"/>
  <c r="AN87" i="2"/>
  <c r="AR87" i="2"/>
  <c r="AX87" i="2"/>
  <c r="AQ87" i="2"/>
  <c r="AT87" i="2"/>
  <c r="AP87" i="2"/>
  <c r="BI87" i="2"/>
  <c r="AO87" i="2"/>
  <c r="AL87" i="2"/>
  <c r="BE87" i="2"/>
  <c r="AU87" i="2"/>
  <c r="AM87" i="2"/>
  <c r="BG87" i="2"/>
  <c r="BA87" i="2"/>
  <c r="AZ87" i="2"/>
  <c r="AY87" i="2"/>
  <c r="AW87" i="2"/>
  <c r="BF87" i="2"/>
  <c r="BD87" i="2"/>
  <c r="AV87" i="2"/>
  <c r="BC87" i="2"/>
  <c r="BB87" i="2"/>
  <c r="AK87" i="2"/>
  <c r="BH84" i="2"/>
  <c r="AN84" i="2"/>
  <c r="BC84" i="2"/>
  <c r="AZ84" i="2"/>
  <c r="BB84" i="2"/>
  <c r="AV84" i="2"/>
  <c r="AP84" i="2"/>
  <c r="AO84" i="2"/>
  <c r="BG84" i="2"/>
  <c r="BE84" i="2"/>
  <c r="BA84" i="2"/>
  <c r="AX84" i="2"/>
  <c r="AQ84" i="2"/>
  <c r="AM84" i="2"/>
  <c r="AL84" i="2"/>
  <c r="BD84" i="2"/>
  <c r="AU84" i="2"/>
  <c r="BF84" i="2"/>
  <c r="BI84" i="2"/>
  <c r="AY84" i="2"/>
  <c r="AW84" i="2"/>
  <c r="AT84" i="2"/>
  <c r="AR84" i="2"/>
  <c r="AS84" i="2"/>
  <c r="AK84" i="2"/>
  <c r="AX118" i="2"/>
  <c r="AS118" i="2"/>
  <c r="AU118" i="2"/>
  <c r="AT118" i="2"/>
  <c r="AN118" i="2"/>
  <c r="AY118" i="2"/>
  <c r="AW118" i="2"/>
  <c r="AM118" i="2"/>
  <c r="BI118" i="2"/>
  <c r="BG118" i="2"/>
  <c r="BE118" i="2"/>
  <c r="AV118" i="2"/>
  <c r="BA118" i="2"/>
  <c r="AO118" i="2"/>
  <c r="AL118" i="2"/>
  <c r="AK118" i="2"/>
  <c r="BF118" i="2"/>
  <c r="BC118" i="2"/>
  <c r="BH118" i="2"/>
  <c r="BD118" i="2"/>
  <c r="AQ118" i="2"/>
  <c r="BB118" i="2"/>
  <c r="AR118" i="2"/>
  <c r="AP118" i="2"/>
  <c r="AZ118" i="2"/>
  <c r="BH72" i="2"/>
  <c r="AN72" i="2"/>
  <c r="BC72" i="2"/>
  <c r="AP72" i="2"/>
  <c r="AX72" i="2"/>
  <c r="AS72" i="2"/>
  <c r="BD72" i="2"/>
  <c r="BB72" i="2"/>
  <c r="AU72" i="2"/>
  <c r="AY72" i="2"/>
  <c r="AV72" i="2"/>
  <c r="AR72" i="2"/>
  <c r="AQ72" i="2"/>
  <c r="AO72" i="2"/>
  <c r="AZ72" i="2"/>
  <c r="AT72" i="2"/>
  <c r="AK72" i="2"/>
  <c r="AM72" i="2"/>
  <c r="AL72" i="2"/>
  <c r="BG72" i="2"/>
  <c r="BA72" i="2"/>
  <c r="BF72" i="2"/>
  <c r="BE72" i="2"/>
  <c r="AW72" i="2"/>
  <c r="BI72" i="2"/>
  <c r="AY35" i="2"/>
  <c r="AR35" i="2"/>
  <c r="BE35" i="2"/>
  <c r="BC35" i="2"/>
  <c r="AP35" i="2"/>
  <c r="BB35" i="2"/>
  <c r="BF35" i="2"/>
  <c r="BD35" i="2"/>
  <c r="BA35" i="2"/>
  <c r="BI35" i="2"/>
  <c r="AZ35" i="2"/>
  <c r="AN35" i="2"/>
  <c r="AW35" i="2"/>
  <c r="AV35" i="2"/>
  <c r="AU35" i="2"/>
  <c r="AS35" i="2"/>
  <c r="AQ35" i="2"/>
  <c r="AM35" i="2"/>
  <c r="AL35" i="2"/>
  <c r="AK35" i="2"/>
  <c r="BH35" i="2"/>
  <c r="AO35" i="2"/>
  <c r="AT35" i="2"/>
  <c r="AX35" i="2"/>
  <c r="BG35" i="2"/>
  <c r="BE67" i="2"/>
  <c r="BH67" i="2"/>
  <c r="AM67" i="2"/>
  <c r="BB67" i="2"/>
  <c r="AZ67" i="2"/>
  <c r="AY67" i="2"/>
  <c r="AS67" i="2"/>
  <c r="BD67" i="2"/>
  <c r="BA67" i="2"/>
  <c r="AW67" i="2"/>
  <c r="AT67" i="2"/>
  <c r="AV67" i="2"/>
  <c r="AQ67" i="2"/>
  <c r="AU67" i="2"/>
  <c r="AO67" i="2"/>
  <c r="AR67" i="2"/>
  <c r="AP67" i="2"/>
  <c r="AN67" i="2"/>
  <c r="AL67" i="2"/>
  <c r="BC67" i="2"/>
  <c r="BI67" i="2"/>
  <c r="BF67" i="2"/>
  <c r="AX67" i="2"/>
  <c r="BG67" i="2"/>
  <c r="BH68" i="2"/>
  <c r="BC68" i="2"/>
  <c r="AZ68" i="2"/>
  <c r="BE68" i="2"/>
  <c r="AX68" i="2"/>
  <c r="AY68" i="2"/>
  <c r="AW68" i="2"/>
  <c r="AQ68" i="2"/>
  <c r="BI68" i="2"/>
  <c r="BF68" i="2"/>
  <c r="BB68" i="2"/>
  <c r="AM68" i="2"/>
  <c r="AL68" i="2"/>
  <c r="BD68" i="2"/>
  <c r="AT68" i="2"/>
  <c r="AS68" i="2"/>
  <c r="AR68" i="2"/>
  <c r="AP68" i="2"/>
  <c r="AO68" i="2"/>
  <c r="BA68" i="2"/>
  <c r="AN68" i="2"/>
  <c r="AK68" i="2"/>
  <c r="BG68" i="2"/>
  <c r="AV68" i="2"/>
  <c r="AU68" i="2"/>
  <c r="AP62" i="2"/>
  <c r="BA62" i="2"/>
  <c r="AQ62" i="2"/>
  <c r="AO62" i="2"/>
  <c r="BE62" i="2"/>
  <c r="AV62" i="2"/>
  <c r="AT62" i="2"/>
  <c r="AR62" i="2"/>
  <c r="BI62" i="2"/>
  <c r="BH62" i="2"/>
  <c r="AW62" i="2"/>
  <c r="AY62" i="2"/>
  <c r="AX62" i="2"/>
  <c r="AU62" i="2"/>
  <c r="AS62" i="2"/>
  <c r="BD62" i="2"/>
  <c r="BG62" i="2"/>
  <c r="BC62" i="2"/>
  <c r="BB62" i="2"/>
  <c r="AN62" i="2"/>
  <c r="BF62" i="2"/>
  <c r="AZ62" i="2"/>
  <c r="AM62" i="2"/>
  <c r="AL62" i="2"/>
  <c r="AK62" i="2"/>
  <c r="BI13" i="2"/>
  <c r="AO13" i="2"/>
  <c r="BB13" i="2"/>
  <c r="AW13" i="2"/>
  <c r="BE13" i="2"/>
  <c r="BF13" i="2"/>
  <c r="BD13" i="2"/>
  <c r="BC13" i="2"/>
  <c r="BA13" i="2"/>
  <c r="AX13" i="2"/>
  <c r="AM13" i="2"/>
  <c r="BH13" i="2"/>
  <c r="BG13" i="2"/>
  <c r="AY13" i="2"/>
  <c r="AV13" i="2"/>
  <c r="AZ13" i="2"/>
  <c r="AQ13" i="2"/>
  <c r="AS13" i="2"/>
  <c r="AR13" i="2"/>
  <c r="AN13" i="2"/>
  <c r="AP13" i="2"/>
  <c r="AL13" i="2"/>
  <c r="AU13" i="2"/>
  <c r="AT13" i="2"/>
  <c r="AK13" i="2"/>
  <c r="AT4" i="2"/>
  <c r="AO4" i="2"/>
  <c r="BF4" i="2"/>
  <c r="AV4" i="2"/>
  <c r="AU4" i="2"/>
  <c r="AS4" i="2"/>
  <c r="BG4" i="2"/>
  <c r="BC4" i="2"/>
  <c r="AP4" i="2"/>
  <c r="BD4" i="2"/>
  <c r="BB4" i="2"/>
  <c r="BA4" i="2"/>
  <c r="AY4" i="2"/>
  <c r="AX4" i="2"/>
  <c r="BH4" i="2"/>
  <c r="AZ4" i="2"/>
  <c r="AW4" i="2"/>
  <c r="AQ4" i="2"/>
  <c r="AR4" i="2"/>
  <c r="AN4" i="2"/>
  <c r="BI4" i="2"/>
  <c r="BE4" i="2"/>
  <c r="AL4" i="2"/>
  <c r="AK4" i="2"/>
  <c r="AM4" i="2"/>
  <c r="AX90" i="2"/>
  <c r="AS90" i="2"/>
  <c r="BF90" i="2"/>
  <c r="AR90" i="2"/>
  <c r="AM90" i="2"/>
  <c r="AV90" i="2"/>
  <c r="AU90" i="2"/>
  <c r="AL90" i="2"/>
  <c r="BG90" i="2"/>
  <c r="BD90" i="2"/>
  <c r="BB90" i="2"/>
  <c r="AQ90" i="2"/>
  <c r="AP90" i="2"/>
  <c r="AO90" i="2"/>
  <c r="BI90" i="2"/>
  <c r="BH90" i="2"/>
  <c r="BE90" i="2"/>
  <c r="AT90" i="2"/>
  <c r="AN90" i="2"/>
  <c r="AK90" i="2"/>
  <c r="BA90" i="2"/>
  <c r="AZ90" i="2"/>
  <c r="AW90" i="2"/>
  <c r="BC90" i="2"/>
  <c r="AY90" i="2"/>
  <c r="BI5" i="2"/>
  <c r="AO5" i="2"/>
  <c r="BF5" i="2"/>
  <c r="AK5" i="2"/>
  <c r="BC5" i="2"/>
  <c r="AT5" i="2"/>
  <c r="AS5" i="2"/>
  <c r="AR5" i="2"/>
  <c r="BE5" i="2"/>
  <c r="AU5" i="2"/>
  <c r="BH5" i="2"/>
  <c r="BD5" i="2"/>
  <c r="BB5" i="2"/>
  <c r="AQ5" i="2"/>
  <c r="AM5" i="2"/>
  <c r="AP5" i="2"/>
  <c r="AN5" i="2"/>
  <c r="AL5" i="2"/>
  <c r="BG5" i="2"/>
  <c r="AZ5" i="2"/>
  <c r="AV5" i="2"/>
  <c r="BA5" i="2"/>
  <c r="AY5" i="2"/>
  <c r="AX5" i="2"/>
  <c r="AW5" i="2"/>
  <c r="AY15" i="2"/>
  <c r="AR15" i="2"/>
  <c r="AQ15" i="2"/>
  <c r="BB15" i="2"/>
  <c r="BE15" i="2"/>
  <c r="BD15" i="2"/>
  <c r="BC15" i="2"/>
  <c r="BH15" i="2"/>
  <c r="AT15" i="2"/>
  <c r="AP15" i="2"/>
  <c r="AO15" i="2"/>
  <c r="AN15" i="2"/>
  <c r="AL15" i="2"/>
  <c r="AK15" i="2"/>
  <c r="BF15" i="2"/>
  <c r="AX15" i="2"/>
  <c r="AU15" i="2"/>
  <c r="AS15" i="2"/>
  <c r="BA15" i="2"/>
  <c r="AZ15" i="2"/>
  <c r="AW15" i="2"/>
  <c r="AV15" i="2"/>
  <c r="AM15" i="2"/>
  <c r="BI15" i="2"/>
  <c r="BG15" i="2"/>
  <c r="AT32" i="2"/>
  <c r="BG32" i="2"/>
  <c r="AM32" i="2"/>
  <c r="AQ32" i="2"/>
  <c r="AO32" i="2"/>
  <c r="AR32" i="2"/>
  <c r="BC32" i="2"/>
  <c r="AX32" i="2"/>
  <c r="AW32" i="2"/>
  <c r="AV32" i="2"/>
  <c r="AZ32" i="2"/>
  <c r="BA32" i="2"/>
  <c r="AY32" i="2"/>
  <c r="AU32" i="2"/>
  <c r="AP32" i="2"/>
  <c r="AN32" i="2"/>
  <c r="BH32" i="2"/>
  <c r="BB32" i="2"/>
  <c r="BI32" i="2"/>
  <c r="AL32" i="2"/>
  <c r="AK32" i="2"/>
  <c r="BF32" i="2"/>
  <c r="BE32" i="2"/>
  <c r="BD32" i="2"/>
  <c r="AS32" i="2"/>
  <c r="BC117" i="2"/>
  <c r="AX117" i="2"/>
  <c r="AW117" i="2"/>
  <c r="AU117" i="2"/>
  <c r="AP117" i="2"/>
  <c r="AV117" i="2"/>
  <c r="AT117" i="2"/>
  <c r="AM117" i="2"/>
  <c r="BF117" i="2"/>
  <c r="BD117" i="2"/>
  <c r="BA117" i="2"/>
  <c r="AO117" i="2"/>
  <c r="BG117" i="2"/>
  <c r="BE117" i="2"/>
  <c r="AK117" i="2"/>
  <c r="BI117" i="2"/>
  <c r="BH117" i="2"/>
  <c r="AZ117" i="2"/>
  <c r="AS117" i="2"/>
  <c r="AN117" i="2"/>
  <c r="AR117" i="2"/>
  <c r="AQ117" i="2"/>
  <c r="AL117" i="2"/>
  <c r="AY117" i="2"/>
  <c r="BB117" i="2"/>
  <c r="AT8" i="2"/>
  <c r="AU8" i="2"/>
  <c r="AV8" i="2"/>
  <c r="AN8" i="2"/>
  <c r="AM8" i="2"/>
  <c r="BI8" i="2"/>
  <c r="AL8" i="2"/>
  <c r="AP8" i="2"/>
  <c r="BA8" i="2"/>
  <c r="BB8" i="2"/>
  <c r="AZ8" i="2"/>
  <c r="AY8" i="2"/>
  <c r="AW8" i="2"/>
  <c r="AS8" i="2"/>
  <c r="BE8" i="2"/>
  <c r="BC8" i="2"/>
  <c r="AX8" i="2"/>
  <c r="AO8" i="2"/>
  <c r="BD8" i="2"/>
  <c r="AK8" i="2"/>
  <c r="AR8" i="2"/>
  <c r="AQ8" i="2"/>
  <c r="BH8" i="2"/>
  <c r="BG8" i="2"/>
  <c r="BF8" i="2"/>
  <c r="BM124" i="2"/>
  <c r="BC109" i="2"/>
  <c r="AX109" i="2"/>
  <c r="AW109" i="2"/>
  <c r="BI109" i="2"/>
  <c r="AL109" i="2"/>
  <c r="BD109" i="2"/>
  <c r="AO109" i="2"/>
  <c r="AN109" i="2"/>
  <c r="BF109" i="2"/>
  <c r="AR109" i="2"/>
  <c r="AP109" i="2"/>
  <c r="AK109" i="2"/>
  <c r="BG109" i="2"/>
  <c r="AU109" i="2"/>
  <c r="AQ109" i="2"/>
  <c r="AM109" i="2"/>
  <c r="BA109" i="2"/>
  <c r="AV109" i="2"/>
  <c r="AS109" i="2"/>
  <c r="AY109" i="2"/>
  <c r="BH109" i="2"/>
  <c r="BE109" i="2"/>
  <c r="BB109" i="2"/>
  <c r="AT109" i="2"/>
  <c r="AZ109" i="2"/>
  <c r="BC69" i="2"/>
  <c r="AX69" i="2"/>
  <c r="AW69" i="2"/>
  <c r="BD69" i="2"/>
  <c r="AV69" i="2"/>
  <c r="BA69" i="2"/>
  <c r="AZ69" i="2"/>
  <c r="AQ69" i="2"/>
  <c r="BH69" i="2"/>
  <c r="AT69" i="2"/>
  <c r="AS69" i="2"/>
  <c r="BI69" i="2"/>
  <c r="BG69" i="2"/>
  <c r="AU69" i="2"/>
  <c r="AO69" i="2"/>
  <c r="BE69" i="2"/>
  <c r="AR69" i="2"/>
  <c r="BB69" i="2"/>
  <c r="AY69" i="2"/>
  <c r="AP69" i="2"/>
  <c r="AN69" i="2"/>
  <c r="AL69" i="2"/>
  <c r="AK69" i="2"/>
  <c r="BF69" i="2"/>
  <c r="AM69" i="2"/>
  <c r="BH80" i="2"/>
  <c r="AN80" i="2"/>
  <c r="BC80" i="2"/>
  <c r="AP80" i="2"/>
  <c r="BI80" i="2"/>
  <c r="AK80" i="2"/>
  <c r="BB80" i="2"/>
  <c r="AL80" i="2"/>
  <c r="BA80" i="2"/>
  <c r="BF80" i="2"/>
  <c r="AW80" i="2"/>
  <c r="AT80" i="2"/>
  <c r="AU80" i="2"/>
  <c r="AS80" i="2"/>
  <c r="AR80" i="2"/>
  <c r="AQ80" i="2"/>
  <c r="AO80" i="2"/>
  <c r="AV80" i="2"/>
  <c r="AM80" i="2"/>
  <c r="BG80" i="2"/>
  <c r="BD80" i="2"/>
  <c r="AZ80" i="2"/>
  <c r="BE80" i="2"/>
  <c r="AY80" i="2"/>
  <c r="AX80" i="2"/>
  <c r="BC105" i="2"/>
  <c r="AX105" i="2"/>
  <c r="BI105" i="2"/>
  <c r="AM105" i="2"/>
  <c r="AR105" i="2"/>
  <c r="AL105" i="2"/>
  <c r="BH105" i="2"/>
  <c r="BA105" i="2"/>
  <c r="AY105" i="2"/>
  <c r="AV105" i="2"/>
  <c r="AT105" i="2"/>
  <c r="AK105" i="2"/>
  <c r="AZ105" i="2"/>
  <c r="AW105" i="2"/>
  <c r="BB105" i="2"/>
  <c r="AU105" i="2"/>
  <c r="AS105" i="2"/>
  <c r="AQ105" i="2"/>
  <c r="AP105" i="2"/>
  <c r="BG105" i="2"/>
  <c r="BF105" i="2"/>
  <c r="BE105" i="2"/>
  <c r="BD105" i="2"/>
  <c r="AO105" i="2"/>
  <c r="AN105" i="2"/>
  <c r="BC101" i="2"/>
  <c r="AX101" i="2"/>
  <c r="AW101" i="2"/>
  <c r="AY101" i="2"/>
  <c r="AR101" i="2"/>
  <c r="BG101" i="2"/>
  <c r="BF101" i="2"/>
  <c r="AV101" i="2"/>
  <c r="BI101" i="2"/>
  <c r="BE101" i="2"/>
  <c r="BB101" i="2"/>
  <c r="AQ101" i="2"/>
  <c r="AL101" i="2"/>
  <c r="AK101" i="2"/>
  <c r="BD101" i="2"/>
  <c r="BH101" i="2"/>
  <c r="BA101" i="2"/>
  <c r="AO101" i="2"/>
  <c r="AZ101" i="2"/>
  <c r="AU101" i="2"/>
  <c r="AT101" i="2"/>
  <c r="AM101" i="2"/>
  <c r="AS101" i="2"/>
  <c r="AP101" i="2"/>
  <c r="AN101" i="2"/>
  <c r="BC121" i="2"/>
  <c r="AX121" i="2"/>
  <c r="BI121" i="2"/>
  <c r="AM121" i="2"/>
  <c r="AP121" i="2"/>
  <c r="BG121" i="2"/>
  <c r="AZ121" i="2"/>
  <c r="AY121" i="2"/>
  <c r="AR121" i="2"/>
  <c r="AV121" i="2"/>
  <c r="AT121" i="2"/>
  <c r="AQ121" i="2"/>
  <c r="BB121" i="2"/>
  <c r="BE121" i="2"/>
  <c r="BD121" i="2"/>
  <c r="BA121" i="2"/>
  <c r="AW121" i="2"/>
  <c r="AU121" i="2"/>
  <c r="BF121" i="2"/>
  <c r="AN121" i="2"/>
  <c r="AO121" i="2"/>
  <c r="AL121" i="2"/>
  <c r="AK121" i="2"/>
  <c r="BH121" i="2"/>
  <c r="AS121" i="2"/>
  <c r="AT52" i="2"/>
  <c r="AS52" i="2"/>
  <c r="BG52" i="2"/>
  <c r="AM52" i="2"/>
  <c r="BC52" i="2"/>
  <c r="BA52" i="2"/>
  <c r="AY52" i="2"/>
  <c r="BD52" i="2"/>
  <c r="BB52" i="2"/>
  <c r="AO52" i="2"/>
  <c r="AN52" i="2"/>
  <c r="AZ52" i="2"/>
  <c r="BI52" i="2"/>
  <c r="BF52" i="2"/>
  <c r="BE52" i="2"/>
  <c r="AP52" i="2"/>
  <c r="AL52" i="2"/>
  <c r="AK52" i="2"/>
  <c r="AR52" i="2"/>
  <c r="AU52" i="2"/>
  <c r="AV52" i="2"/>
  <c r="AQ52" i="2"/>
  <c r="BH52" i="2"/>
  <c r="AW52" i="2"/>
  <c r="AX52" i="2"/>
  <c r="BC93" i="2"/>
  <c r="AX93" i="2"/>
  <c r="AW93" i="2"/>
  <c r="AN93" i="2"/>
  <c r="BF93" i="2"/>
  <c r="AY93" i="2"/>
  <c r="AV93" i="2"/>
  <c r="AP93" i="2"/>
  <c r="AS93" i="2"/>
  <c r="AQ93" i="2"/>
  <c r="AM93" i="2"/>
  <c r="BI93" i="2"/>
  <c r="AT93" i="2"/>
  <c r="AR93" i="2"/>
  <c r="BB93" i="2"/>
  <c r="AU93" i="2"/>
  <c r="AK93" i="2"/>
  <c r="BH93" i="2"/>
  <c r="BG93" i="2"/>
  <c r="BD93" i="2"/>
  <c r="BE93" i="2"/>
  <c r="BA93" i="2"/>
  <c r="AZ93" i="2"/>
  <c r="AO93" i="2"/>
  <c r="AL93" i="2"/>
  <c r="AY39" i="2"/>
  <c r="AR39" i="2"/>
  <c r="AT39" i="2"/>
  <c r="AQ39" i="2"/>
  <c r="AN39" i="2"/>
  <c r="BB39" i="2"/>
  <c r="AL39" i="2"/>
  <c r="AK39" i="2"/>
  <c r="BD39" i="2"/>
  <c r="AZ39" i="2"/>
  <c r="BH39" i="2"/>
  <c r="BI39" i="2"/>
  <c r="BF39" i="2"/>
  <c r="BE39" i="2"/>
  <c r="AS39" i="2"/>
  <c r="AM39" i="2"/>
  <c r="AP39" i="2"/>
  <c r="AO39" i="2"/>
  <c r="BA39" i="2"/>
  <c r="AU39" i="2"/>
  <c r="BC39" i="2"/>
  <c r="AX39" i="2"/>
  <c r="BG39" i="2"/>
  <c r="AV39" i="2"/>
  <c r="AW39" i="2"/>
  <c r="BI17" i="2"/>
  <c r="AO17" i="2"/>
  <c r="BB17" i="2"/>
  <c r="BH17" i="2"/>
  <c r="AL17" i="2"/>
  <c r="AX17" i="2"/>
  <c r="BD17" i="2"/>
  <c r="BC17" i="2"/>
  <c r="BA17" i="2"/>
  <c r="AQ17" i="2"/>
  <c r="AM17" i="2"/>
  <c r="AZ17" i="2"/>
  <c r="BG17" i="2"/>
  <c r="BE17" i="2"/>
  <c r="AY17" i="2"/>
  <c r="AV17" i="2"/>
  <c r="AS17" i="2"/>
  <c r="AN17" i="2"/>
  <c r="AU17" i="2"/>
  <c r="AT17" i="2"/>
  <c r="AR17" i="2"/>
  <c r="AP17" i="2"/>
  <c r="AK17" i="2"/>
  <c r="BF17" i="2"/>
  <c r="AW17" i="2"/>
  <c r="BH100" i="2"/>
  <c r="AN100" i="2"/>
  <c r="BC100" i="2"/>
  <c r="AZ100" i="2"/>
  <c r="AY100" i="2"/>
  <c r="AT100" i="2"/>
  <c r="BF100" i="2"/>
  <c r="BE100" i="2"/>
  <c r="AV100" i="2"/>
  <c r="BB100" i="2"/>
  <c r="AX100" i="2"/>
  <c r="AU100" i="2"/>
  <c r="AM100" i="2"/>
  <c r="AP100" i="2"/>
  <c r="AO100" i="2"/>
  <c r="AL100" i="2"/>
  <c r="AK100" i="2"/>
  <c r="AS100" i="2"/>
  <c r="BI100" i="2"/>
  <c r="BG100" i="2"/>
  <c r="BD100" i="2"/>
  <c r="BA100" i="2"/>
  <c r="AW100" i="2"/>
  <c r="AR100" i="2"/>
  <c r="AQ100" i="2"/>
  <c r="BC85" i="2"/>
  <c r="AX85" i="2"/>
  <c r="AW85" i="2"/>
  <c r="BA85" i="2"/>
  <c r="AT85" i="2"/>
  <c r="AP85" i="2"/>
  <c r="AO85" i="2"/>
  <c r="BH85" i="2"/>
  <c r="BG85" i="2"/>
  <c r="BE85" i="2"/>
  <c r="AU85" i="2"/>
  <c r="BB85" i="2"/>
  <c r="AZ85" i="2"/>
  <c r="BF85" i="2"/>
  <c r="BD85" i="2"/>
  <c r="AY85" i="2"/>
  <c r="AV85" i="2"/>
  <c r="AS85" i="2"/>
  <c r="AM85" i="2"/>
  <c r="AL85" i="2"/>
  <c r="BI85" i="2"/>
  <c r="AN85" i="2"/>
  <c r="AQ85" i="2"/>
  <c r="AR85" i="2"/>
  <c r="AS95" i="2"/>
  <c r="BH95" i="2"/>
  <c r="AN95" i="2"/>
  <c r="AR95" i="2"/>
  <c r="BG95" i="2"/>
  <c r="BB95" i="2"/>
  <c r="AZ95" i="2"/>
  <c r="AY95" i="2"/>
  <c r="AQ95" i="2"/>
  <c r="BE95" i="2"/>
  <c r="BC95" i="2"/>
  <c r="AX95" i="2"/>
  <c r="AO95" i="2"/>
  <c r="BA95" i="2"/>
  <c r="BF95" i="2"/>
  <c r="AV95" i="2"/>
  <c r="AW95" i="2"/>
  <c r="AP95" i="2"/>
  <c r="AU95" i="2"/>
  <c r="AT95" i="2"/>
  <c r="AM95" i="2"/>
  <c r="AL95" i="2"/>
  <c r="AK95" i="2"/>
  <c r="BD95" i="2"/>
  <c r="BI95" i="2"/>
  <c r="AY7" i="2"/>
  <c r="AX7" i="2"/>
  <c r="AW7" i="2"/>
  <c r="AP7" i="2"/>
  <c r="AO7" i="2"/>
  <c r="AN7" i="2"/>
  <c r="AL7" i="2"/>
  <c r="BI7" i="2"/>
  <c r="AZ7" i="2"/>
  <c r="AT7" i="2"/>
  <c r="AS7" i="2"/>
  <c r="AR7" i="2"/>
  <c r="AM7" i="2"/>
  <c r="AK7" i="2"/>
  <c r="BG7" i="2"/>
  <c r="BF7" i="2"/>
  <c r="BH7" i="2"/>
  <c r="BE7" i="2"/>
  <c r="BD7" i="2"/>
  <c r="BB7" i="2"/>
  <c r="AU7" i="2"/>
  <c r="BA7" i="2"/>
  <c r="AV7" i="2"/>
  <c r="BC7" i="2"/>
  <c r="AQ7" i="2"/>
  <c r="BH120" i="2"/>
  <c r="AN120" i="2"/>
  <c r="BC120" i="2"/>
  <c r="AP120" i="2"/>
  <c r="AR120" i="2"/>
  <c r="BI120" i="2"/>
  <c r="AK120" i="2"/>
  <c r="AY120" i="2"/>
  <c r="AX120" i="2"/>
  <c r="AQ120" i="2"/>
  <c r="AS120" i="2"/>
  <c r="AM120" i="2"/>
  <c r="BF120" i="2"/>
  <c r="BE120" i="2"/>
  <c r="BD120" i="2"/>
  <c r="AL120" i="2"/>
  <c r="AU120" i="2"/>
  <c r="AW120" i="2"/>
  <c r="AO120" i="2"/>
  <c r="AV120" i="2"/>
  <c r="AT120" i="2"/>
  <c r="BG120" i="2"/>
  <c r="AZ120" i="2"/>
  <c r="BB120" i="2"/>
  <c r="BA120" i="2"/>
  <c r="AX70" i="2"/>
  <c r="AS70" i="2"/>
  <c r="AU70" i="2"/>
  <c r="BB70" i="2"/>
  <c r="AV70" i="2"/>
  <c r="BC70" i="2"/>
  <c r="BA70" i="2"/>
  <c r="AQ70" i="2"/>
  <c r="AM70" i="2"/>
  <c r="AK70" i="2"/>
  <c r="BG70" i="2"/>
  <c r="BF70" i="2"/>
  <c r="AO70" i="2"/>
  <c r="AN70" i="2"/>
  <c r="AL70" i="2"/>
  <c r="AW70" i="2"/>
  <c r="BI70" i="2"/>
  <c r="BE70" i="2"/>
  <c r="BH70" i="2"/>
  <c r="BD70" i="2"/>
  <c r="AT70" i="2"/>
  <c r="AR70" i="2"/>
  <c r="AZ70" i="2"/>
  <c r="AP70" i="2"/>
  <c r="AY70" i="2"/>
  <c r="AY23" i="2"/>
  <c r="AR23" i="2"/>
  <c r="AT23" i="2"/>
  <c r="AQ23" i="2"/>
  <c r="AU23" i="2"/>
  <c r="BG23" i="2"/>
  <c r="BF23" i="2"/>
  <c r="BE23" i="2"/>
  <c r="AO23" i="2"/>
  <c r="AL23" i="2"/>
  <c r="BB23" i="2"/>
  <c r="BA23" i="2"/>
  <c r="AZ23" i="2"/>
  <c r="AX23" i="2"/>
  <c r="AV23" i="2"/>
  <c r="AS23" i="2"/>
  <c r="AN23" i="2"/>
  <c r="AM23" i="2"/>
  <c r="AK23" i="2"/>
  <c r="BH23" i="2"/>
  <c r="BD23" i="2"/>
  <c r="BC23" i="2"/>
  <c r="AW23" i="2"/>
  <c r="AP23" i="2"/>
  <c r="BI23" i="2"/>
  <c r="AY27" i="2"/>
  <c r="AR27" i="2"/>
  <c r="BE27" i="2"/>
  <c r="BC27" i="2"/>
  <c r="AS27" i="2"/>
  <c r="BF27" i="2"/>
  <c r="AL27" i="2"/>
  <c r="AK27" i="2"/>
  <c r="BH27" i="2"/>
  <c r="AU27" i="2"/>
  <c r="BI27" i="2"/>
  <c r="BG27" i="2"/>
  <c r="BD27" i="2"/>
  <c r="BA27" i="2"/>
  <c r="AZ27" i="2"/>
  <c r="AO27" i="2"/>
  <c r="AN27" i="2"/>
  <c r="AM27" i="2"/>
  <c r="BB27" i="2"/>
  <c r="AX27" i="2"/>
  <c r="AV27" i="2"/>
  <c r="AW27" i="2"/>
  <c r="AT27" i="2"/>
  <c r="AP27" i="2"/>
  <c r="AQ27" i="2"/>
  <c r="BD46" i="2"/>
  <c r="AW46" i="2"/>
  <c r="AV46" i="2"/>
  <c r="AT46" i="2"/>
  <c r="AR46" i="2"/>
  <c r="AU46" i="2"/>
  <c r="BH46" i="2"/>
  <c r="AK46" i="2"/>
  <c r="AZ46" i="2"/>
  <c r="AS46" i="2"/>
  <c r="BA46" i="2"/>
  <c r="AY46" i="2"/>
  <c r="AX46" i="2"/>
  <c r="AP46" i="2"/>
  <c r="AO46" i="2"/>
  <c r="BF46" i="2"/>
  <c r="BB46" i="2"/>
  <c r="BG46" i="2"/>
  <c r="BI46" i="2"/>
  <c r="BE46" i="2"/>
  <c r="BC46" i="2"/>
  <c r="AQ46" i="2"/>
  <c r="AM46" i="2"/>
  <c r="AN46" i="2"/>
  <c r="AL46" i="2"/>
  <c r="BD42" i="2"/>
  <c r="AW42" i="2"/>
  <c r="BH42" i="2"/>
  <c r="AL42" i="2"/>
  <c r="BF42" i="2"/>
  <c r="BC42" i="2"/>
  <c r="AQ42" i="2"/>
  <c r="BB42" i="2"/>
  <c r="AV42" i="2"/>
  <c r="AU42" i="2"/>
  <c r="AT42" i="2"/>
  <c r="AX42" i="2"/>
  <c r="AP42" i="2"/>
  <c r="AY42" i="2"/>
  <c r="BE42" i="2"/>
  <c r="BA42" i="2"/>
  <c r="AS42" i="2"/>
  <c r="AO42" i="2"/>
  <c r="BI42" i="2"/>
  <c r="BG42" i="2"/>
  <c r="AZ42" i="2"/>
  <c r="AR42" i="2"/>
  <c r="AM42" i="2"/>
  <c r="AK42" i="2"/>
  <c r="AN42" i="2"/>
  <c r="AX82" i="2"/>
  <c r="AS82" i="2"/>
  <c r="BF82" i="2"/>
  <c r="BE82" i="2"/>
  <c r="AZ82" i="2"/>
  <c r="AN82" i="2"/>
  <c r="AM82" i="2"/>
  <c r="BD82" i="2"/>
  <c r="AT82" i="2"/>
  <c r="AQ82" i="2"/>
  <c r="AO82" i="2"/>
  <c r="BI82" i="2"/>
  <c r="BA82" i="2"/>
  <c r="AY82" i="2"/>
  <c r="AP82" i="2"/>
  <c r="AL82" i="2"/>
  <c r="AK82" i="2"/>
  <c r="AW82" i="2"/>
  <c r="AR82" i="2"/>
  <c r="BB82" i="2"/>
  <c r="AV82" i="2"/>
  <c r="AU82" i="2"/>
  <c r="BG82" i="2"/>
  <c r="BH82" i="2"/>
  <c r="BC82" i="2"/>
  <c r="BH104" i="2"/>
  <c r="AN104" i="2"/>
  <c r="BC104" i="2"/>
  <c r="AP104" i="2"/>
  <c r="AT104" i="2"/>
  <c r="AM104" i="2"/>
  <c r="BI104" i="2"/>
  <c r="BG104" i="2"/>
  <c r="AZ104" i="2"/>
  <c r="AU104" i="2"/>
  <c r="AR104" i="2"/>
  <c r="AO104" i="2"/>
  <c r="AK104" i="2"/>
  <c r="BD104" i="2"/>
  <c r="BB104" i="2"/>
  <c r="AX104" i="2"/>
  <c r="AS104" i="2"/>
  <c r="AQ104" i="2"/>
  <c r="AL104" i="2"/>
  <c r="BF104" i="2"/>
  <c r="BA104" i="2"/>
  <c r="AV104" i="2"/>
  <c r="AW104" i="2"/>
  <c r="BE104" i="2"/>
  <c r="AY104" i="2"/>
  <c r="AS91" i="2"/>
  <c r="BH91" i="2"/>
  <c r="AN91" i="2"/>
  <c r="BC91" i="2"/>
  <c r="AQ91" i="2"/>
  <c r="BI91" i="2"/>
  <c r="AK91" i="2"/>
  <c r="AW91" i="2"/>
  <c r="AV91" i="2"/>
  <c r="AM91" i="2"/>
  <c r="BF91" i="2"/>
  <c r="AY91" i="2"/>
  <c r="BD91" i="2"/>
  <c r="BB91" i="2"/>
  <c r="AL91" i="2"/>
  <c r="AP91" i="2"/>
  <c r="AO91" i="2"/>
  <c r="AU91" i="2"/>
  <c r="BA91" i="2"/>
  <c r="AT91" i="2"/>
  <c r="AZ91" i="2"/>
  <c r="AX91" i="2"/>
  <c r="AR91" i="2"/>
  <c r="BE91" i="2"/>
  <c r="BG91" i="2"/>
  <c r="BD30" i="2"/>
  <c r="AW30" i="2"/>
  <c r="AV30" i="2"/>
  <c r="AT30" i="2"/>
  <c r="AQ30" i="2"/>
  <c r="BE30" i="2"/>
  <c r="AR30" i="2"/>
  <c r="AP30" i="2"/>
  <c r="AO30" i="2"/>
  <c r="BC30" i="2"/>
  <c r="AZ30" i="2"/>
  <c r="BI30" i="2"/>
  <c r="BH30" i="2"/>
  <c r="BF30" i="2"/>
  <c r="BB30" i="2"/>
  <c r="BG30" i="2"/>
  <c r="AX30" i="2"/>
  <c r="AL30" i="2"/>
  <c r="AM30" i="2"/>
  <c r="AK30" i="2"/>
  <c r="BA30" i="2"/>
  <c r="AY30" i="2"/>
  <c r="AU30" i="2"/>
  <c r="AS30" i="2"/>
  <c r="AN30" i="2"/>
  <c r="BH88" i="2"/>
  <c r="AN88" i="2"/>
  <c r="BC88" i="2"/>
  <c r="AP88" i="2"/>
  <c r="AV88" i="2"/>
  <c r="AQ88" i="2"/>
  <c r="AT88" i="2"/>
  <c r="AS88" i="2"/>
  <c r="AX88" i="2"/>
  <c r="AU88" i="2"/>
  <c r="AO88" i="2"/>
  <c r="BD88" i="2"/>
  <c r="BB88" i="2"/>
  <c r="BI88" i="2"/>
  <c r="BE88" i="2"/>
  <c r="AM88" i="2"/>
  <c r="AL88" i="2"/>
  <c r="AK88" i="2"/>
  <c r="BF88" i="2"/>
  <c r="BA88" i="2"/>
  <c r="AZ88" i="2"/>
  <c r="AR88" i="2"/>
  <c r="BG88" i="2"/>
  <c r="AY88" i="2"/>
  <c r="AW88" i="2"/>
  <c r="AT48" i="2"/>
  <c r="BG48" i="2"/>
  <c r="AM48" i="2"/>
  <c r="AQ48" i="2"/>
  <c r="AO48" i="2"/>
  <c r="BI48" i="2"/>
  <c r="AL48" i="2"/>
  <c r="AX48" i="2"/>
  <c r="AS48" i="2"/>
  <c r="AR48" i="2"/>
  <c r="AP48" i="2"/>
  <c r="AY48" i="2"/>
  <c r="AN48" i="2"/>
  <c r="AK48" i="2"/>
  <c r="BH48" i="2"/>
  <c r="BF48" i="2"/>
  <c r="BE48" i="2"/>
  <c r="BC48" i="2"/>
  <c r="BD48" i="2"/>
  <c r="BB48" i="2"/>
  <c r="AV48" i="2"/>
  <c r="BA48" i="2"/>
  <c r="AW48" i="2"/>
  <c r="AZ48" i="2"/>
  <c r="AU48" i="2"/>
  <c r="BD22" i="2"/>
  <c r="AV22" i="2"/>
  <c r="AT22" i="2"/>
  <c r="AS22" i="2"/>
  <c r="BG22" i="2"/>
  <c r="BE22" i="2"/>
  <c r="AL22" i="2"/>
  <c r="AX22" i="2"/>
  <c r="AP22" i="2"/>
  <c r="AO22" i="2"/>
  <c r="AN22" i="2"/>
  <c r="BB22" i="2"/>
  <c r="BA22" i="2"/>
  <c r="AU22" i="2"/>
  <c r="AZ22" i="2"/>
  <c r="AR22" i="2"/>
  <c r="AQ22" i="2"/>
  <c r="BC22" i="2"/>
  <c r="AM22" i="2"/>
  <c r="AP66" i="2"/>
  <c r="AQ66" i="2"/>
  <c r="BF66" i="2"/>
  <c r="AK66" i="2"/>
  <c r="BB66" i="2"/>
  <c r="BA66" i="2"/>
  <c r="AU66" i="2"/>
  <c r="AZ66" i="2"/>
  <c r="AX66" i="2"/>
  <c r="AV66" i="2"/>
  <c r="BE66" i="2"/>
  <c r="BD66" i="2"/>
  <c r="AM66" i="2"/>
  <c r="BI66" i="2"/>
  <c r="BH66" i="2"/>
  <c r="BG66" i="2"/>
  <c r="BC66" i="2"/>
  <c r="AR66" i="2"/>
  <c r="AL66" i="2"/>
  <c r="AY66" i="2"/>
  <c r="AW66" i="2"/>
  <c r="AT66" i="2"/>
  <c r="AS66" i="2"/>
  <c r="AO66" i="2"/>
  <c r="AN66" i="2"/>
  <c r="AS71" i="2"/>
  <c r="BH71" i="2"/>
  <c r="AN71" i="2"/>
  <c r="AR71" i="2"/>
  <c r="AZ71" i="2"/>
  <c r="AU71" i="2"/>
  <c r="BC71" i="2"/>
  <c r="BB71" i="2"/>
  <c r="AT71" i="2"/>
  <c r="AQ71" i="2"/>
  <c r="AO71" i="2"/>
  <c r="AL71" i="2"/>
  <c r="BA71" i="2"/>
  <c r="BF71" i="2"/>
  <c r="BE71" i="2"/>
  <c r="BD71" i="2"/>
  <c r="AY71" i="2"/>
  <c r="AX71" i="2"/>
  <c r="AP71" i="2"/>
  <c r="BI71" i="2"/>
  <c r="BG71" i="2"/>
  <c r="AV71" i="2"/>
  <c r="AK71" i="2"/>
  <c r="AW71" i="2"/>
  <c r="AM71" i="2"/>
  <c r="BI60" i="2"/>
  <c r="AO60" i="2"/>
  <c r="AW60" i="2"/>
  <c r="AV60" i="2"/>
  <c r="AP60" i="2"/>
  <c r="AT60" i="2"/>
  <c r="AR60" i="2"/>
  <c r="AN60" i="2"/>
  <c r="BA60" i="2"/>
  <c r="AZ60" i="2"/>
  <c r="BH60" i="2"/>
  <c r="BG60" i="2"/>
  <c r="BF60" i="2"/>
  <c r="AQ60" i="2"/>
  <c r="AK60" i="2"/>
  <c r="BE60" i="2"/>
  <c r="BB60" i="2"/>
  <c r="BD60" i="2"/>
  <c r="BC60" i="2"/>
  <c r="AY60" i="2"/>
  <c r="AX60" i="2"/>
  <c r="AU60" i="2"/>
  <c r="AM60" i="2"/>
  <c r="AS60" i="2"/>
  <c r="AL60" i="2"/>
  <c r="AS119" i="2"/>
  <c r="BH119" i="2"/>
  <c r="AN119" i="2"/>
  <c r="AR119" i="2"/>
  <c r="AT119" i="2"/>
  <c r="AL119" i="2"/>
  <c r="AY119" i="2"/>
  <c r="AX119" i="2"/>
  <c r="AO119" i="2"/>
  <c r="BI119" i="2"/>
  <c r="BB119" i="2"/>
  <c r="AU119" i="2"/>
  <c r="AQ119" i="2"/>
  <c r="BF119" i="2"/>
  <c r="BE119" i="2"/>
  <c r="BD119" i="2"/>
  <c r="BC119" i="2"/>
  <c r="BA119" i="2"/>
  <c r="AM119" i="2"/>
  <c r="BG119" i="2"/>
  <c r="AZ119" i="2"/>
  <c r="AW119" i="2"/>
  <c r="AP119" i="2"/>
  <c r="AK119" i="2"/>
  <c r="AV119" i="2"/>
  <c r="AS111" i="2"/>
  <c r="BH111" i="2"/>
  <c r="AN111" i="2"/>
  <c r="AR111" i="2"/>
  <c r="BE111" i="2"/>
  <c r="AZ111" i="2"/>
  <c r="AP111" i="2"/>
  <c r="AO111" i="2"/>
  <c r="BG111" i="2"/>
  <c r="BB111" i="2"/>
  <c r="AY111" i="2"/>
  <c r="AW111" i="2"/>
  <c r="AL111" i="2"/>
  <c r="BC111" i="2"/>
  <c r="BA111" i="2"/>
  <c r="BD111" i="2"/>
  <c r="BI111" i="2"/>
  <c r="AV111" i="2"/>
  <c r="BF111" i="2"/>
  <c r="AX111" i="2"/>
  <c r="AU111" i="2"/>
  <c r="AT111" i="2"/>
  <c r="AQ111" i="2"/>
  <c r="AM111" i="2"/>
  <c r="AK111" i="2"/>
  <c r="AS103" i="2"/>
  <c r="BH103" i="2"/>
  <c r="AN103" i="2"/>
  <c r="AR103" i="2"/>
  <c r="AV103" i="2"/>
  <c r="AO103" i="2"/>
  <c r="BG103" i="2"/>
  <c r="BF103" i="2"/>
  <c r="AZ103" i="2"/>
  <c r="AM103" i="2"/>
  <c r="AK103" i="2"/>
  <c r="BC103" i="2"/>
  <c r="BI103" i="2"/>
  <c r="AT103" i="2"/>
  <c r="BB103" i="2"/>
  <c r="BA103" i="2"/>
  <c r="AY103" i="2"/>
  <c r="AX103" i="2"/>
  <c r="AU103" i="2"/>
  <c r="AW103" i="2"/>
  <c r="AL103" i="2"/>
  <c r="AQ103" i="2"/>
  <c r="AP103" i="2"/>
  <c r="BE103" i="2"/>
  <c r="BD103" i="2"/>
  <c r="BI33" i="2"/>
  <c r="AO33" i="2"/>
  <c r="BB33" i="2"/>
  <c r="AN33" i="2"/>
  <c r="BH33" i="2"/>
  <c r="AL33" i="2"/>
  <c r="AR33" i="2"/>
  <c r="BC33" i="2"/>
  <c r="AY33" i="2"/>
  <c r="AX33" i="2"/>
  <c r="AW33" i="2"/>
  <c r="AS33" i="2"/>
  <c r="AM33" i="2"/>
  <c r="BF33" i="2"/>
  <c r="BE33" i="2"/>
  <c r="BD33" i="2"/>
  <c r="AP33" i="2"/>
  <c r="AK33" i="2"/>
  <c r="AV33" i="2"/>
  <c r="BA33" i="2"/>
  <c r="AZ33" i="2"/>
  <c r="AQ33" i="2"/>
  <c r="BG33" i="2"/>
  <c r="AU33" i="2"/>
  <c r="AT33" i="2"/>
  <c r="BM20" i="2"/>
  <c r="BI29" i="2"/>
  <c r="AO29" i="2"/>
  <c r="BB29" i="2"/>
  <c r="AY29" i="2"/>
  <c r="AW29" i="2"/>
  <c r="AR29" i="2"/>
  <c r="BE29" i="2"/>
  <c r="AP29" i="2"/>
  <c r="AN29" i="2"/>
  <c r="AM29" i="2"/>
  <c r="AV29" i="2"/>
  <c r="AS29" i="2"/>
  <c r="BH29" i="2"/>
  <c r="AZ29" i="2"/>
  <c r="AX29" i="2"/>
  <c r="AU29" i="2"/>
  <c r="AQ29" i="2"/>
  <c r="AL29" i="2"/>
  <c r="BC29" i="2"/>
  <c r="BG29" i="2"/>
  <c r="BF29" i="2"/>
  <c r="BA29" i="2"/>
  <c r="AK29" i="2"/>
  <c r="AT29" i="2"/>
  <c r="BD29" i="2"/>
  <c r="AS79" i="2"/>
  <c r="BH79" i="2"/>
  <c r="AN79" i="2"/>
  <c r="AR79" i="2"/>
  <c r="AL79" i="2"/>
  <c r="BD79" i="2"/>
  <c r="BI79" i="2"/>
  <c r="BA79" i="2"/>
  <c r="BF79" i="2"/>
  <c r="BC79" i="2"/>
  <c r="AZ79" i="2"/>
  <c r="AT79" i="2"/>
  <c r="AX79" i="2"/>
  <c r="AW79" i="2"/>
  <c r="BE79" i="2"/>
  <c r="AK79" i="2"/>
  <c r="BB79" i="2"/>
  <c r="AY79" i="2"/>
  <c r="AV79" i="2"/>
  <c r="AU79" i="2"/>
  <c r="AQ79" i="2"/>
  <c r="AP79" i="2"/>
  <c r="AO79" i="2"/>
  <c r="BG79" i="2"/>
  <c r="AM79" i="2"/>
  <c r="AX114" i="2"/>
  <c r="AS114" i="2"/>
  <c r="BF114" i="2"/>
  <c r="BA114" i="2"/>
  <c r="AU114" i="2"/>
  <c r="AR114" i="2"/>
  <c r="AQ114" i="2"/>
  <c r="AK114" i="2"/>
  <c r="AN114" i="2"/>
  <c r="AL114" i="2"/>
  <c r="BD114" i="2"/>
  <c r="BC114" i="2"/>
  <c r="BB114" i="2"/>
  <c r="AY114" i="2"/>
  <c r="AW114" i="2"/>
  <c r="AV114" i="2"/>
  <c r="AT114" i="2"/>
  <c r="AP114" i="2"/>
  <c r="AZ114" i="2"/>
  <c r="BH114" i="2"/>
  <c r="AO114" i="2"/>
  <c r="BG114" i="2"/>
  <c r="BE114" i="2"/>
  <c r="AM114" i="2"/>
  <c r="BI114" i="2"/>
  <c r="AT44" i="2"/>
  <c r="BG44" i="2"/>
  <c r="AM44" i="2"/>
  <c r="BB44" i="2"/>
  <c r="AZ44" i="2"/>
  <c r="AX44" i="2"/>
  <c r="AR44" i="2"/>
  <c r="BF44" i="2"/>
  <c r="BE44" i="2"/>
  <c r="BD44" i="2"/>
  <c r="BC44" i="2"/>
  <c r="AS44" i="2"/>
  <c r="BI44" i="2"/>
  <c r="BH44" i="2"/>
  <c r="AY44" i="2"/>
  <c r="AW44" i="2"/>
  <c r="AP44" i="2"/>
  <c r="BA44" i="2"/>
  <c r="AU44" i="2"/>
  <c r="AQ44" i="2"/>
  <c r="AV44" i="2"/>
  <c r="AL44" i="2"/>
  <c r="AN44" i="2"/>
  <c r="AO44" i="2"/>
  <c r="AK44" i="2"/>
  <c r="AY58" i="2"/>
  <c r="BE58" i="2"/>
  <c r="BD58" i="2"/>
  <c r="AW58" i="2"/>
  <c r="AT58" i="2"/>
  <c r="AR58" i="2"/>
  <c r="AP58" i="2"/>
  <c r="AQ58" i="2"/>
  <c r="AO58" i="2"/>
  <c r="BG58" i="2"/>
  <c r="AU58" i="2"/>
  <c r="AS58" i="2"/>
  <c r="AN58" i="2"/>
  <c r="AM58" i="2"/>
  <c r="BA58" i="2"/>
  <c r="AV58" i="2"/>
  <c r="BI58" i="2"/>
  <c r="BC58" i="2"/>
  <c r="BH58" i="2"/>
  <c r="BF58" i="2"/>
  <c r="BB58" i="2"/>
  <c r="AZ58" i="2"/>
  <c r="AX58" i="2"/>
  <c r="AK58" i="2"/>
  <c r="AL58" i="2"/>
  <c r="BI37" i="2"/>
  <c r="AO37" i="2"/>
  <c r="BB37" i="2"/>
  <c r="AY37" i="2"/>
  <c r="AW37" i="2"/>
  <c r="AP37" i="2"/>
  <c r="BC37" i="2"/>
  <c r="BH37" i="2"/>
  <c r="BG37" i="2"/>
  <c r="AQ37" i="2"/>
  <c r="AL37" i="2"/>
  <c r="BA37" i="2"/>
  <c r="AN37" i="2"/>
  <c r="AM37" i="2"/>
  <c r="AK37" i="2"/>
  <c r="AT37" i="2"/>
  <c r="AS37" i="2"/>
  <c r="AR37" i="2"/>
  <c r="AZ37" i="2"/>
  <c r="AV37" i="2"/>
  <c r="BF37" i="2"/>
  <c r="BD37" i="2"/>
  <c r="AX37" i="2"/>
  <c r="AU37" i="2"/>
  <c r="BE37" i="2"/>
  <c r="AS115" i="2"/>
  <c r="BH115" i="2"/>
  <c r="AN115" i="2"/>
  <c r="BC115" i="2"/>
  <c r="AY115" i="2"/>
  <c r="AT115" i="2"/>
  <c r="AU115" i="2"/>
  <c r="AR115" i="2"/>
  <c r="AK115" i="2"/>
  <c r="AV115" i="2"/>
  <c r="AP115" i="2"/>
  <c r="AM115" i="2"/>
  <c r="BI115" i="2"/>
  <c r="AZ115" i="2"/>
  <c r="BG115" i="2"/>
  <c r="AW115" i="2"/>
  <c r="BF115" i="2"/>
  <c r="BB115" i="2"/>
  <c r="BA115" i="2"/>
  <c r="BE115" i="2"/>
  <c r="BD115" i="2"/>
  <c r="AX115" i="2"/>
  <c r="AQ115" i="2"/>
  <c r="AO115" i="2"/>
  <c r="AL115" i="2"/>
  <c r="AX86" i="2"/>
  <c r="AS86" i="2"/>
  <c r="AU86" i="2"/>
  <c r="AZ86" i="2"/>
  <c r="AR86" i="2"/>
  <c r="AP86" i="2"/>
  <c r="AO86" i="2"/>
  <c r="BH86" i="2"/>
  <c r="AK86" i="2"/>
  <c r="BI86" i="2"/>
  <c r="BB86" i="2"/>
  <c r="AW86" i="2"/>
  <c r="BE86" i="2"/>
  <c r="BA86" i="2"/>
  <c r="BG86" i="2"/>
  <c r="BF86" i="2"/>
  <c r="BD86" i="2"/>
  <c r="AT86" i="2"/>
  <c r="AQ86" i="2"/>
  <c r="AM86" i="2"/>
  <c r="AL86" i="2"/>
  <c r="BC86" i="2"/>
  <c r="AY86" i="2"/>
  <c r="AN86" i="2"/>
  <c r="AV86" i="2"/>
  <c r="AS99" i="2"/>
  <c r="BH99" i="2"/>
  <c r="AN99" i="2"/>
  <c r="BC99" i="2"/>
  <c r="BA99" i="2"/>
  <c r="AV99" i="2"/>
  <c r="BE99" i="2"/>
  <c r="BD99" i="2"/>
  <c r="AU99" i="2"/>
  <c r="AW99" i="2"/>
  <c r="AR99" i="2"/>
  <c r="AP99" i="2"/>
  <c r="AX99" i="2"/>
  <c r="AT99" i="2"/>
  <c r="BI99" i="2"/>
  <c r="BG99" i="2"/>
  <c r="AK99" i="2"/>
  <c r="AZ99" i="2"/>
  <c r="AO99" i="2"/>
  <c r="AY99" i="2"/>
  <c r="AQ99" i="2"/>
  <c r="AM99" i="2"/>
  <c r="AL99" i="2"/>
  <c r="BB99" i="2"/>
  <c r="BF99" i="2"/>
  <c r="BH96" i="2"/>
  <c r="AN96" i="2"/>
  <c r="BC96" i="2"/>
  <c r="AP96" i="2"/>
  <c r="BF96" i="2"/>
  <c r="AZ96" i="2"/>
  <c r="BA96" i="2"/>
  <c r="AY96" i="2"/>
  <c r="AS96" i="2"/>
  <c r="BI96" i="2"/>
  <c r="BE96" i="2"/>
  <c r="AU96" i="2"/>
  <c r="AT96" i="2"/>
  <c r="AR96" i="2"/>
  <c r="AX96" i="2"/>
  <c r="AW96" i="2"/>
  <c r="AV96" i="2"/>
  <c r="AQ96" i="2"/>
  <c r="BG96" i="2"/>
  <c r="AL96" i="2"/>
  <c r="AK96" i="2"/>
  <c r="BD96" i="2"/>
  <c r="BB96" i="2"/>
  <c r="AO96" i="2"/>
  <c r="AM96" i="2"/>
  <c r="BC113" i="2"/>
  <c r="AX113" i="2"/>
  <c r="BI113" i="2"/>
  <c r="AM113" i="2"/>
  <c r="BB113" i="2"/>
  <c r="AV113" i="2"/>
  <c r="AR113" i="2"/>
  <c r="AQ113" i="2"/>
  <c r="BG113" i="2"/>
  <c r="AY113" i="2"/>
  <c r="AP113" i="2"/>
  <c r="AO113" i="2"/>
  <c r="BH113" i="2"/>
  <c r="BF113" i="2"/>
  <c r="AN113" i="2"/>
  <c r="BE113" i="2"/>
  <c r="BD113" i="2"/>
  <c r="AK113" i="2"/>
  <c r="AT113" i="2"/>
  <c r="BA113" i="2"/>
  <c r="AU113" i="2"/>
  <c r="AL113" i="2"/>
  <c r="AW113" i="2"/>
  <c r="AZ113" i="2"/>
  <c r="AS113" i="2"/>
  <c r="AS83" i="2"/>
  <c r="BH83" i="2"/>
  <c r="AN83" i="2"/>
  <c r="BC83" i="2"/>
  <c r="BD83" i="2"/>
  <c r="AX83" i="2"/>
  <c r="AO83" i="2"/>
  <c r="AM83" i="2"/>
  <c r="BF83" i="2"/>
  <c r="AY83" i="2"/>
  <c r="AV83" i="2"/>
  <c r="AT83" i="2"/>
  <c r="AU83" i="2"/>
  <c r="BI83" i="2"/>
  <c r="BG83" i="2"/>
  <c r="BE83" i="2"/>
  <c r="BB83" i="2"/>
  <c r="AQ83" i="2"/>
  <c r="AZ83" i="2"/>
  <c r="AP83" i="2"/>
  <c r="AW83" i="2"/>
  <c r="AR83" i="2"/>
  <c r="AL83" i="2"/>
  <c r="AK83" i="2"/>
  <c r="BA83" i="2"/>
  <c r="AY19" i="2"/>
  <c r="AR19" i="2"/>
  <c r="BE19" i="2"/>
  <c r="BC19" i="2"/>
  <c r="AU19" i="2"/>
  <c r="BD19" i="2"/>
  <c r="BB19" i="2"/>
  <c r="BA19" i="2"/>
  <c r="AW19" i="2"/>
  <c r="AS19" i="2"/>
  <c r="AQ19" i="2"/>
  <c r="AP19" i="2"/>
  <c r="AO19" i="2"/>
  <c r="AM19" i="2"/>
  <c r="AL19" i="2"/>
  <c r="AX19" i="2"/>
  <c r="AV19" i="2"/>
  <c r="AT19" i="2"/>
  <c r="AN19" i="2"/>
  <c r="AK19" i="2"/>
  <c r="BH19" i="2"/>
  <c r="BF19" i="2"/>
  <c r="BI19" i="2"/>
  <c r="BG19" i="2"/>
  <c r="AZ19" i="2"/>
  <c r="BD26" i="2"/>
  <c r="AW26" i="2"/>
  <c r="BH26" i="2"/>
  <c r="AL26" i="2"/>
  <c r="BF26" i="2"/>
  <c r="AS26" i="2"/>
  <c r="AK26" i="2"/>
  <c r="BI26" i="2"/>
  <c r="BE26" i="2"/>
  <c r="BA26" i="2"/>
  <c r="AP26" i="2"/>
  <c r="AX26" i="2"/>
  <c r="AV26" i="2"/>
  <c r="AU26" i="2"/>
  <c r="AR26" i="2"/>
  <c r="AQ26" i="2"/>
  <c r="BG26" i="2"/>
  <c r="AZ26" i="2"/>
  <c r="AO26" i="2"/>
  <c r="AN26" i="2"/>
  <c r="AY26" i="2"/>
  <c r="AM26" i="2"/>
  <c r="BC26" i="2"/>
  <c r="BB26" i="2"/>
  <c r="AT26" i="2"/>
  <c r="BM108" i="2"/>
  <c r="AY43" i="2"/>
  <c r="AR43" i="2"/>
  <c r="BE43" i="2"/>
  <c r="BC43" i="2"/>
  <c r="BA43" i="2"/>
  <c r="AQ43" i="2"/>
  <c r="BF43" i="2"/>
  <c r="AZ43" i="2"/>
  <c r="AX43" i="2"/>
  <c r="AW43" i="2"/>
  <c r="BH43" i="2"/>
  <c r="BB43" i="2"/>
  <c r="AL43" i="2"/>
  <c r="AS43" i="2"/>
  <c r="AP43" i="2"/>
  <c r="AO43" i="2"/>
  <c r="AM43" i="2"/>
  <c r="AK43" i="2"/>
  <c r="AV43" i="2"/>
  <c r="AN43" i="2"/>
  <c r="AU43" i="2"/>
  <c r="AT43" i="2"/>
  <c r="BI43" i="2"/>
  <c r="BG43" i="2"/>
  <c r="BD43" i="2"/>
  <c r="AT56" i="2"/>
  <c r="AS56" i="2"/>
  <c r="BG56" i="2"/>
  <c r="AM56" i="2"/>
  <c r="AX56" i="2"/>
  <c r="AV56" i="2"/>
  <c r="AR56" i="2"/>
  <c r="AK56" i="2"/>
  <c r="BA56" i="2"/>
  <c r="BI56" i="2"/>
  <c r="BH56" i="2"/>
  <c r="BF56" i="2"/>
  <c r="BE56" i="2"/>
  <c r="BD56" i="2"/>
  <c r="AZ56" i="2"/>
  <c r="BB56" i="2"/>
  <c r="BC56" i="2"/>
  <c r="AY56" i="2"/>
  <c r="AW56" i="2"/>
  <c r="AO56" i="2"/>
  <c r="AP56" i="2"/>
  <c r="AL56" i="2"/>
  <c r="AU56" i="2"/>
  <c r="AQ56" i="2"/>
  <c r="AN56" i="2"/>
  <c r="BC97" i="2"/>
  <c r="AX97" i="2"/>
  <c r="BI97" i="2"/>
  <c r="AM97" i="2"/>
  <c r="BE97" i="2"/>
  <c r="AY97" i="2"/>
  <c r="BB97" i="2"/>
  <c r="BA97" i="2"/>
  <c r="AS97" i="2"/>
  <c r="AL97" i="2"/>
  <c r="AZ97" i="2"/>
  <c r="BH97" i="2"/>
  <c r="BG97" i="2"/>
  <c r="AP97" i="2"/>
  <c r="AW97" i="2"/>
  <c r="BD97" i="2"/>
  <c r="BF97" i="2"/>
  <c r="AV97" i="2"/>
  <c r="AU97" i="2"/>
  <c r="AT97" i="2"/>
  <c r="AQ97" i="2"/>
  <c r="AR97" i="2"/>
  <c r="AN97" i="2"/>
  <c r="AK97" i="2"/>
  <c r="AO97" i="2"/>
  <c r="BD6" i="2"/>
  <c r="BB6" i="2"/>
  <c r="AZ6" i="2"/>
  <c r="AR6" i="2"/>
  <c r="AQ6" i="2"/>
  <c r="AP6" i="2"/>
  <c r="AK6" i="2"/>
  <c r="BH6" i="2"/>
  <c r="AV6" i="2"/>
  <c r="AM6" i="2"/>
  <c r="AL6" i="2"/>
  <c r="BG6" i="2"/>
  <c r="BC6" i="2"/>
  <c r="AX6" i="2"/>
  <c r="AW6" i="2"/>
  <c r="BF6" i="2"/>
  <c r="BE6" i="2"/>
  <c r="AU6" i="2"/>
  <c r="AS6" i="2"/>
  <c r="AT6" i="2"/>
  <c r="AO6" i="2"/>
  <c r="AN6" i="2"/>
  <c r="BA6" i="2"/>
  <c r="AY6" i="2"/>
  <c r="BI6" i="2"/>
  <c r="BH116" i="2"/>
  <c r="AN116" i="2"/>
  <c r="BC116" i="2"/>
  <c r="AZ116" i="2"/>
  <c r="AW116" i="2"/>
  <c r="AR116" i="2"/>
  <c r="AU116" i="2"/>
  <c r="AT116" i="2"/>
  <c r="AL116" i="2"/>
  <c r="BA116" i="2"/>
  <c r="AX116" i="2"/>
  <c r="AS116" i="2"/>
  <c r="AP116" i="2"/>
  <c r="AO116" i="2"/>
  <c r="AV116" i="2"/>
  <c r="AQ116" i="2"/>
  <c r="AM116" i="2"/>
  <c r="AK116" i="2"/>
  <c r="BG116" i="2"/>
  <c r="BD116" i="2"/>
  <c r="BI116" i="2"/>
  <c r="BF116" i="2"/>
  <c r="BE116" i="2"/>
  <c r="BB116" i="2"/>
  <c r="AY116" i="2"/>
  <c r="AX126" i="2"/>
  <c r="AS126" i="2"/>
  <c r="AU126" i="2"/>
  <c r="BE126" i="2"/>
  <c r="AZ126" i="2"/>
  <c r="BF126" i="2"/>
  <c r="BD126" i="2"/>
  <c r="AV126" i="2"/>
  <c r="AR126" i="2"/>
  <c r="AP126" i="2"/>
  <c r="AN126" i="2"/>
  <c r="BI126" i="2"/>
  <c r="BH126" i="2"/>
  <c r="AO126" i="2"/>
  <c r="BG126" i="2"/>
  <c r="BC126" i="2"/>
  <c r="AT126" i="2"/>
  <c r="AL126" i="2"/>
  <c r="AK126" i="2"/>
  <c r="AM126" i="2"/>
  <c r="AQ126" i="2"/>
  <c r="BB126" i="2"/>
  <c r="AW126" i="2"/>
  <c r="AY126" i="2"/>
  <c r="BA126" i="2"/>
  <c r="BH92" i="2"/>
  <c r="AN92" i="2"/>
  <c r="BC92" i="2"/>
  <c r="AZ92" i="2"/>
  <c r="AP92" i="2"/>
  <c r="BG92" i="2"/>
  <c r="AW92" i="2"/>
  <c r="AV92" i="2"/>
  <c r="AO92" i="2"/>
  <c r="AM92" i="2"/>
  <c r="AK92" i="2"/>
  <c r="BD92" i="2"/>
  <c r="AY92" i="2"/>
  <c r="BI92" i="2"/>
  <c r="BF92" i="2"/>
  <c r="BE92" i="2"/>
  <c r="BB92" i="2"/>
  <c r="AR92" i="2"/>
  <c r="AU92" i="2"/>
  <c r="BA92" i="2"/>
  <c r="AX92" i="2"/>
  <c r="AT92" i="2"/>
  <c r="AS92" i="2"/>
  <c r="AQ92" i="2"/>
  <c r="AL92" i="2"/>
  <c r="AX122" i="2"/>
  <c r="AS122" i="2"/>
  <c r="BF122" i="2"/>
  <c r="AN122" i="2"/>
  <c r="BE122" i="2"/>
  <c r="BA122" i="2"/>
  <c r="AZ122" i="2"/>
  <c r="AR122" i="2"/>
  <c r="BC122" i="2"/>
  <c r="AY122" i="2"/>
  <c r="AV122" i="2"/>
  <c r="AM122" i="2"/>
  <c r="AT122" i="2"/>
  <c r="AQ122" i="2"/>
  <c r="BB122" i="2"/>
  <c r="BG122" i="2"/>
  <c r="BI122" i="2"/>
  <c r="BH122" i="2"/>
  <c r="BD122" i="2"/>
  <c r="AW122" i="2"/>
  <c r="AU122" i="2"/>
  <c r="AO122" i="2"/>
  <c r="AK122" i="2"/>
  <c r="AP122" i="2"/>
  <c r="AL122" i="2"/>
  <c r="BM41" i="2"/>
  <c r="BH76" i="2"/>
  <c r="AN76" i="2"/>
  <c r="BC76" i="2"/>
  <c r="AZ76" i="2"/>
  <c r="AR76" i="2"/>
  <c r="AL76" i="2"/>
  <c r="BG76" i="2"/>
  <c r="BF76" i="2"/>
  <c r="AX76" i="2"/>
  <c r="AQ76" i="2"/>
  <c r="AO76" i="2"/>
  <c r="AK76" i="2"/>
  <c r="BA76" i="2"/>
  <c r="AY76" i="2"/>
  <c r="BI76" i="2"/>
  <c r="BE76" i="2"/>
  <c r="BD76" i="2"/>
  <c r="BB76" i="2"/>
  <c r="AW76" i="2"/>
  <c r="AV76" i="2"/>
  <c r="AP76" i="2"/>
  <c r="AM76" i="2"/>
  <c r="AT76" i="2"/>
  <c r="AU76" i="2"/>
  <c r="AS76" i="2"/>
  <c r="AS127" i="2"/>
  <c r="BH127" i="2"/>
  <c r="AN127" i="2"/>
  <c r="AR127" i="2"/>
  <c r="BC127" i="2"/>
  <c r="AX127" i="2"/>
  <c r="BF127" i="2"/>
  <c r="BE127" i="2"/>
  <c r="AW127" i="2"/>
  <c r="AZ127" i="2"/>
  <c r="AV127" i="2"/>
  <c r="AT127" i="2"/>
  <c r="AK127" i="2"/>
  <c r="BD127" i="2"/>
  <c r="AO127" i="2"/>
  <c r="AM127" i="2"/>
  <c r="AL127" i="2"/>
  <c r="AY127" i="2"/>
  <c r="AU127" i="2"/>
  <c r="BB127" i="2"/>
  <c r="BI127" i="2"/>
  <c r="BG127" i="2"/>
  <c r="AP127" i="2"/>
  <c r="AQ127" i="2"/>
  <c r="BA127" i="2"/>
  <c r="AS75" i="2"/>
  <c r="BH75" i="2"/>
  <c r="AN75" i="2"/>
  <c r="BC75" i="2"/>
  <c r="AT75" i="2"/>
  <c r="AM75" i="2"/>
  <c r="BF75" i="2"/>
  <c r="BE75" i="2"/>
  <c r="AX75" i="2"/>
  <c r="AK75" i="2"/>
  <c r="AQ75" i="2"/>
  <c r="AP75" i="2"/>
  <c r="BG75" i="2"/>
  <c r="AR75" i="2"/>
  <c r="AO75" i="2"/>
  <c r="AL75" i="2"/>
  <c r="BD75" i="2"/>
  <c r="AZ75" i="2"/>
  <c r="BB75" i="2"/>
  <c r="AV75" i="2"/>
  <c r="BI75" i="2"/>
  <c r="AW75" i="2"/>
  <c r="BA75" i="2"/>
  <c r="AY75" i="2"/>
  <c r="AU75" i="2"/>
  <c r="AT40" i="2"/>
  <c r="BG40" i="2"/>
  <c r="AM40" i="2"/>
  <c r="AQ40" i="2"/>
  <c r="AO40" i="2"/>
  <c r="BI40" i="2"/>
  <c r="AN40" i="2"/>
  <c r="BA40" i="2"/>
  <c r="AP40" i="2"/>
  <c r="AL40" i="2"/>
  <c r="AK40" i="2"/>
  <c r="BE40" i="2"/>
  <c r="AU40" i="2"/>
  <c r="AR40" i="2"/>
  <c r="BH40" i="2"/>
  <c r="BF40" i="2"/>
  <c r="BB40" i="2"/>
  <c r="AZ40" i="2"/>
  <c r="AY40" i="2"/>
  <c r="AW40" i="2"/>
  <c r="AS40" i="2"/>
  <c r="AX40" i="2"/>
  <c r="BD40" i="2"/>
  <c r="BC40" i="2"/>
  <c r="AV40" i="2"/>
  <c r="BM10" i="2"/>
  <c r="AX110" i="2"/>
  <c r="AS110" i="2"/>
  <c r="AU110" i="2"/>
  <c r="BG110" i="2"/>
  <c r="BB110" i="2"/>
  <c r="AO110" i="2"/>
  <c r="AN110" i="2"/>
  <c r="BF110" i="2"/>
  <c r="AW110" i="2"/>
  <c r="AT110" i="2"/>
  <c r="AQ110" i="2"/>
  <c r="AM110" i="2"/>
  <c r="AL110" i="2"/>
  <c r="BH110" i="2"/>
  <c r="BI110" i="2"/>
  <c r="BE110" i="2"/>
  <c r="BD110" i="2"/>
  <c r="BC110" i="2"/>
  <c r="BA110" i="2"/>
  <c r="AY110" i="2"/>
  <c r="AV110" i="2"/>
  <c r="AR110" i="2"/>
  <c r="AK110" i="2"/>
  <c r="AZ110" i="2"/>
  <c r="AP110" i="2"/>
  <c r="BI57" i="2"/>
  <c r="AO57" i="2"/>
  <c r="BH57" i="2"/>
  <c r="AN57" i="2"/>
  <c r="BB57" i="2"/>
  <c r="AV57" i="2"/>
  <c r="AT57" i="2"/>
  <c r="AR57" i="2"/>
  <c r="AM57" i="2"/>
  <c r="AL57" i="2"/>
  <c r="BC57" i="2"/>
  <c r="AY57" i="2"/>
  <c r="AP57" i="2"/>
  <c r="AK57" i="2"/>
  <c r="AW57" i="2"/>
  <c r="AQ57" i="2"/>
  <c r="AU57" i="2"/>
  <c r="AS57" i="2"/>
  <c r="AX57" i="2"/>
  <c r="BG57" i="2"/>
  <c r="BE57" i="2"/>
  <c r="BF57" i="2"/>
  <c r="BA57" i="2"/>
  <c r="AZ57" i="2"/>
  <c r="BD57" i="2"/>
  <c r="AZ64" i="2"/>
  <c r="AS64" i="2"/>
  <c r="BG64" i="2"/>
  <c r="AK64" i="2"/>
  <c r="BF64" i="2"/>
  <c r="AY64" i="2"/>
  <c r="AW64" i="2"/>
  <c r="AU64" i="2"/>
  <c r="AR64" i="2"/>
  <c r="AP64" i="2"/>
  <c r="AO64" i="2"/>
  <c r="BH64" i="2"/>
  <c r="BA64" i="2"/>
  <c r="BE64" i="2"/>
  <c r="BI64" i="2"/>
  <c r="BD64" i="2"/>
  <c r="BC64" i="2"/>
  <c r="AV64" i="2"/>
  <c r="BB64" i="2"/>
  <c r="AT64" i="2"/>
  <c r="AN64" i="2"/>
  <c r="AQ64" i="2"/>
  <c r="AM64" i="2"/>
  <c r="AL64" i="2"/>
  <c r="AX106" i="2"/>
  <c r="AS106" i="2"/>
  <c r="BF106" i="2"/>
  <c r="AP106" i="2"/>
  <c r="BH106" i="2"/>
  <c r="AK106" i="2"/>
  <c r="AL106" i="2"/>
  <c r="BB106" i="2"/>
  <c r="BD106" i="2"/>
  <c r="BA106" i="2"/>
  <c r="AY106" i="2"/>
  <c r="AQ106" i="2"/>
  <c r="AT106" i="2"/>
  <c r="BI106" i="2"/>
  <c r="BC106" i="2"/>
  <c r="AR106" i="2"/>
  <c r="AM106" i="2"/>
  <c r="AO106" i="2"/>
  <c r="AN106" i="2"/>
  <c r="BG106" i="2"/>
  <c r="BE106" i="2"/>
  <c r="AW106" i="2"/>
  <c r="AZ106" i="2"/>
  <c r="AV106" i="2"/>
  <c r="AU106" i="2"/>
  <c r="AY47" i="2"/>
  <c r="AR47" i="2"/>
  <c r="AT47" i="2"/>
  <c r="AQ47" i="2"/>
  <c r="AO47" i="2"/>
  <c r="AW47" i="2"/>
  <c r="BH47" i="2"/>
  <c r="AM47" i="2"/>
  <c r="AL47" i="2"/>
  <c r="AK47" i="2"/>
  <c r="BF47" i="2"/>
  <c r="BC47" i="2"/>
  <c r="AN47" i="2"/>
  <c r="BI47" i="2"/>
  <c r="BE47" i="2"/>
  <c r="BD47" i="2"/>
  <c r="BA47" i="2"/>
  <c r="AV47" i="2"/>
  <c r="AP47" i="2"/>
  <c r="AZ47" i="2"/>
  <c r="AX47" i="2"/>
  <c r="AU47" i="2"/>
  <c r="AS47" i="2"/>
  <c r="BB47" i="2"/>
  <c r="BG47" i="2"/>
  <c r="AT16" i="2"/>
  <c r="BG16" i="2"/>
  <c r="AM16" i="2"/>
  <c r="AO16" i="2"/>
  <c r="AZ16" i="2"/>
  <c r="BD16" i="2"/>
  <c r="BC16" i="2"/>
  <c r="BB16" i="2"/>
  <c r="AL16" i="2"/>
  <c r="AW16" i="2"/>
  <c r="AY16" i="2"/>
  <c r="AX16" i="2"/>
  <c r="AV16" i="2"/>
  <c r="AS16" i="2"/>
  <c r="AR16" i="2"/>
  <c r="BA16" i="2"/>
  <c r="BI16" i="2"/>
  <c r="BH16" i="2"/>
  <c r="BF16" i="2"/>
  <c r="BE16" i="2"/>
  <c r="AQ16" i="2"/>
  <c r="AP16" i="2"/>
  <c r="AN16" i="2"/>
  <c r="AU16" i="2"/>
  <c r="AK16" i="2"/>
  <c r="AX102" i="2"/>
  <c r="AS102" i="2"/>
  <c r="AU102" i="2"/>
  <c r="AW102" i="2"/>
  <c r="AP102" i="2"/>
  <c r="BG102" i="2"/>
  <c r="BF102" i="2"/>
  <c r="AZ102" i="2"/>
  <c r="BH102" i="2"/>
  <c r="AY102" i="2"/>
  <c r="AV102" i="2"/>
  <c r="AT102" i="2"/>
  <c r="AL102" i="2"/>
  <c r="AK102" i="2"/>
  <c r="BB102" i="2"/>
  <c r="AQ102" i="2"/>
  <c r="BI102" i="2"/>
  <c r="BE102" i="2"/>
  <c r="BD102" i="2"/>
  <c r="BA102" i="2"/>
  <c r="AR102" i="2"/>
  <c r="AO102" i="2"/>
  <c r="AM102" i="2"/>
  <c r="AN102" i="2"/>
  <c r="BC102" i="2"/>
  <c r="AT24" i="2"/>
  <c r="BG24" i="2"/>
  <c r="AM24" i="2"/>
  <c r="AQ24" i="2"/>
  <c r="AO24" i="2"/>
  <c r="AU24" i="2"/>
  <c r="BH24" i="2"/>
  <c r="BF24" i="2"/>
  <c r="BE24" i="2"/>
  <c r="AW24" i="2"/>
  <c r="AR24" i="2"/>
  <c r="BI24" i="2"/>
  <c r="BC24" i="2"/>
  <c r="BB24" i="2"/>
  <c r="BD24" i="2"/>
  <c r="AY24" i="2"/>
  <c r="AX24" i="2"/>
  <c r="AV24" i="2"/>
  <c r="BA24" i="2"/>
  <c r="AZ24" i="2"/>
  <c r="AS24" i="2"/>
  <c r="AP24" i="2"/>
  <c r="AN24" i="2"/>
  <c r="AL24" i="2"/>
  <c r="AK24" i="2"/>
  <c r="BI9" i="2"/>
  <c r="AO9" i="2"/>
  <c r="AQ9" i="2"/>
  <c r="AS9" i="2"/>
  <c r="AL9" i="2"/>
  <c r="BH9" i="2"/>
  <c r="AK9" i="2"/>
  <c r="BG9" i="2"/>
  <c r="AT9" i="2"/>
  <c r="AN9" i="2"/>
  <c r="BB9" i="2"/>
  <c r="BF9" i="2"/>
  <c r="BE9" i="2"/>
  <c r="BD9" i="2"/>
  <c r="BA9" i="2"/>
  <c r="AZ9" i="2"/>
  <c r="AY9" i="2"/>
  <c r="BC9" i="2"/>
  <c r="AV9" i="2"/>
  <c r="AX9" i="2"/>
  <c r="AW9" i="2"/>
  <c r="AU9" i="2"/>
  <c r="AR9" i="2"/>
  <c r="AM9" i="2"/>
  <c r="AP9" i="2"/>
  <c r="BD54" i="2"/>
  <c r="BC54" i="2"/>
  <c r="AW54" i="2"/>
  <c r="AZ54" i="2"/>
  <c r="AX54" i="2"/>
  <c r="AU54" i="2"/>
  <c r="BI54" i="2"/>
  <c r="BH54" i="2"/>
  <c r="AS54" i="2"/>
  <c r="AT54" i="2"/>
  <c r="AR54" i="2"/>
  <c r="AQ54" i="2"/>
  <c r="AP54" i="2"/>
  <c r="AO54" i="2"/>
  <c r="BG54" i="2"/>
  <c r="BE54" i="2"/>
  <c r="BB54" i="2"/>
  <c r="AY54" i="2"/>
  <c r="AM54" i="2"/>
  <c r="AV54" i="2"/>
  <c r="AN54" i="2"/>
  <c r="AL54" i="2"/>
  <c r="AK54" i="2"/>
  <c r="BF54" i="2"/>
  <c r="BA54" i="2"/>
  <c r="AX98" i="2"/>
  <c r="AS98" i="2"/>
  <c r="BF98" i="2"/>
  <c r="BC98" i="2"/>
  <c r="AW98" i="2"/>
  <c r="BD98" i="2"/>
  <c r="BB98" i="2"/>
  <c r="AT98" i="2"/>
  <c r="AP98" i="2"/>
  <c r="AN98" i="2"/>
  <c r="AL98" i="2"/>
  <c r="BH98" i="2"/>
  <c r="BA98" i="2"/>
  <c r="AU98" i="2"/>
  <c r="AR98" i="2"/>
  <c r="AQ98" i="2"/>
  <c r="AO98" i="2"/>
  <c r="AK98" i="2"/>
  <c r="AV98" i="2"/>
  <c r="AM98" i="2"/>
  <c r="BI98" i="2"/>
  <c r="BG98" i="2"/>
  <c r="AZ98" i="2"/>
  <c r="AY98" i="2"/>
  <c r="BE98" i="2"/>
  <c r="AY31" i="2"/>
  <c r="AR31" i="2"/>
  <c r="AT31" i="2"/>
  <c r="AQ31" i="2"/>
  <c r="AP31" i="2"/>
  <c r="BD31" i="2"/>
  <c r="AV31" i="2"/>
  <c r="AU31" i="2"/>
  <c r="AS31" i="2"/>
  <c r="BI31" i="2"/>
  <c r="BF31" i="2"/>
  <c r="AN31" i="2"/>
  <c r="AK31" i="2"/>
  <c r="AO31" i="2"/>
  <c r="BH31" i="2"/>
  <c r="BG31" i="2"/>
  <c r="AM31" i="2"/>
  <c r="AL31" i="2"/>
  <c r="BB31" i="2"/>
  <c r="BA31" i="2"/>
  <c r="AZ31" i="2"/>
  <c r="AW31" i="2"/>
  <c r="BE31" i="2"/>
  <c r="BC31" i="2"/>
  <c r="AX31" i="2"/>
  <c r="AT28" i="2"/>
  <c r="BG28" i="2"/>
  <c r="AM28" i="2"/>
  <c r="BB28" i="2"/>
  <c r="AZ28" i="2"/>
  <c r="AR28" i="2"/>
  <c r="BE28" i="2"/>
  <c r="AN28" i="2"/>
  <c r="AL28" i="2"/>
  <c r="AK28" i="2"/>
  <c r="AP28" i="2"/>
  <c r="BA28" i="2"/>
  <c r="BI28" i="2"/>
  <c r="BD28" i="2"/>
  <c r="AW28" i="2"/>
  <c r="BH28" i="2"/>
  <c r="BF28" i="2"/>
  <c r="AX28" i="2"/>
  <c r="AV28" i="2"/>
  <c r="AS28" i="2"/>
  <c r="AO28" i="2"/>
  <c r="AU28" i="2"/>
  <c r="BC28" i="2"/>
  <c r="AY28" i="2"/>
  <c r="AQ28" i="2"/>
  <c r="BI21" i="2"/>
  <c r="AO21" i="2"/>
  <c r="BB21" i="2"/>
  <c r="AY21" i="2"/>
  <c r="AW21" i="2"/>
  <c r="AT21" i="2"/>
  <c r="BF21" i="2"/>
  <c r="BE21" i="2"/>
  <c r="BD21" i="2"/>
  <c r="BG21" i="2"/>
  <c r="AQ21" i="2"/>
  <c r="BH21" i="2"/>
  <c r="AS21" i="2"/>
  <c r="AN21" i="2"/>
  <c r="AR21" i="2"/>
  <c r="AP21" i="2"/>
  <c r="AM21" i="2"/>
  <c r="AL21" i="2"/>
  <c r="AU21" i="2"/>
  <c r="BC21" i="2"/>
  <c r="AZ21" i="2"/>
  <c r="AV21" i="2"/>
  <c r="BA21" i="2"/>
  <c r="AX21" i="2"/>
  <c r="BH112" i="2"/>
  <c r="AN112" i="2"/>
  <c r="BC112" i="2"/>
  <c r="AP112" i="2"/>
  <c r="BD112" i="2"/>
  <c r="AX112" i="2"/>
  <c r="AR112" i="2"/>
  <c r="AQ112" i="2"/>
  <c r="BI112" i="2"/>
  <c r="BG112" i="2"/>
  <c r="BE112" i="2"/>
  <c r="BA112" i="2"/>
  <c r="AT112" i="2"/>
  <c r="AV112" i="2"/>
  <c r="BB112" i="2"/>
  <c r="AZ112" i="2"/>
  <c r="AY112" i="2"/>
  <c r="AW112" i="2"/>
  <c r="AU112" i="2"/>
  <c r="AK112" i="2"/>
  <c r="AO112" i="2"/>
  <c r="BF112" i="2"/>
  <c r="AS112" i="2"/>
  <c r="AM112" i="2"/>
  <c r="AL112" i="2"/>
  <c r="BD50" i="2"/>
  <c r="AW50" i="2"/>
  <c r="BH50" i="2"/>
  <c r="AL50" i="2"/>
  <c r="BF50" i="2"/>
  <c r="BC50" i="2"/>
  <c r="AY50" i="2"/>
  <c r="AN50" i="2"/>
  <c r="AZ50" i="2"/>
  <c r="AX50" i="2"/>
  <c r="AV50" i="2"/>
  <c r="BB50" i="2"/>
  <c r="AT50" i="2"/>
  <c r="AM50" i="2"/>
  <c r="AK50" i="2"/>
  <c r="BI50" i="2"/>
  <c r="BE50" i="2"/>
  <c r="BG50" i="2"/>
  <c r="AP50" i="2"/>
  <c r="BA50" i="2"/>
  <c r="AO50" i="2"/>
  <c r="AU50" i="2"/>
  <c r="AS50" i="2"/>
  <c r="AR50" i="2"/>
  <c r="AQ50" i="2"/>
  <c r="AX94" i="2"/>
  <c r="AS94" i="2"/>
  <c r="AU94" i="2"/>
  <c r="BI94" i="2"/>
  <c r="AL94" i="2"/>
  <c r="BD94" i="2"/>
  <c r="AZ94" i="2"/>
  <c r="AY94" i="2"/>
  <c r="AP94" i="2"/>
  <c r="BA94" i="2"/>
  <c r="AV94" i="2"/>
  <c r="AR94" i="2"/>
  <c r="BG94" i="2"/>
  <c r="BF94" i="2"/>
  <c r="AM94" i="2"/>
  <c r="BE94" i="2"/>
  <c r="BC94" i="2"/>
  <c r="BB94" i="2"/>
  <c r="AW94" i="2"/>
  <c r="AQ94" i="2"/>
  <c r="AO94" i="2"/>
  <c r="AN94" i="2"/>
  <c r="BH94" i="2"/>
  <c r="AT94" i="2"/>
  <c r="AK94" i="2"/>
  <c r="AS123" i="2"/>
  <c r="BH123" i="2"/>
  <c r="AN123" i="2"/>
  <c r="BC123" i="2"/>
  <c r="AL123" i="2"/>
  <c r="BD123" i="2"/>
  <c r="BA123" i="2"/>
  <c r="AZ123" i="2"/>
  <c r="AT123" i="2"/>
  <c r="BI123" i="2"/>
  <c r="BF123" i="2"/>
  <c r="BB123" i="2"/>
  <c r="AR123" i="2"/>
  <c r="BG123" i="2"/>
  <c r="AO123" i="2"/>
  <c r="AW123" i="2"/>
  <c r="AV123" i="2"/>
  <c r="AU123" i="2"/>
  <c r="AQ123" i="2"/>
  <c r="AP123" i="2"/>
  <c r="BE123" i="2"/>
  <c r="AK123" i="2"/>
  <c r="AY123" i="2"/>
  <c r="AX123" i="2"/>
  <c r="AM123" i="2"/>
  <c r="AY55" i="2"/>
  <c r="AX55" i="2"/>
  <c r="AR55" i="2"/>
  <c r="AZ55" i="2"/>
  <c r="AV55" i="2"/>
  <c r="AT55" i="2"/>
  <c r="BI55" i="2"/>
  <c r="AW55" i="2"/>
  <c r="BD55" i="2"/>
  <c r="BC55" i="2"/>
  <c r="BB55" i="2"/>
  <c r="BA55" i="2"/>
  <c r="AO55" i="2"/>
  <c r="AL55" i="2"/>
  <c r="BH55" i="2"/>
  <c r="AM55" i="2"/>
  <c r="AK55" i="2"/>
  <c r="BG55" i="2"/>
  <c r="BF55" i="2"/>
  <c r="BE55" i="2"/>
  <c r="AS55" i="2"/>
  <c r="AU55" i="2"/>
  <c r="AQ55" i="2"/>
  <c r="AP55" i="2"/>
  <c r="AN55" i="2"/>
  <c r="BC125" i="2"/>
  <c r="AX125" i="2"/>
  <c r="AW125" i="2"/>
  <c r="BG125" i="2"/>
  <c r="BA125" i="2"/>
  <c r="BE125" i="2"/>
  <c r="BD125" i="2"/>
  <c r="AT125" i="2"/>
  <c r="AO125" i="2"/>
  <c r="AM125" i="2"/>
  <c r="AK125" i="2"/>
  <c r="BF125" i="2"/>
  <c r="AU125" i="2"/>
  <c r="AS125" i="2"/>
  <c r="AR125" i="2"/>
  <c r="AQ125" i="2"/>
  <c r="AP125" i="2"/>
  <c r="AN125" i="2"/>
  <c r="AL125" i="2"/>
  <c r="BB125" i="2"/>
  <c r="BI125" i="2"/>
  <c r="BH125" i="2"/>
  <c r="AZ125" i="2"/>
  <c r="AY125" i="2"/>
  <c r="AV125" i="2"/>
  <c r="BI49" i="2"/>
  <c r="AO49" i="2"/>
  <c r="BB49" i="2"/>
  <c r="AN49" i="2"/>
  <c r="BH49" i="2"/>
  <c r="AL49" i="2"/>
  <c r="BF49" i="2"/>
  <c r="AX49" i="2"/>
  <c r="AV49" i="2"/>
  <c r="AU49" i="2"/>
  <c r="AT49" i="2"/>
  <c r="AR49" i="2"/>
  <c r="AM49" i="2"/>
  <c r="BE49" i="2"/>
  <c r="BD49" i="2"/>
  <c r="BC49" i="2"/>
  <c r="BA49" i="2"/>
  <c r="AY49" i="2"/>
  <c r="AW49" i="2"/>
  <c r="BG49" i="2"/>
  <c r="AZ49" i="2"/>
  <c r="AS49" i="2"/>
  <c r="AQ49" i="2"/>
  <c r="AP49" i="2"/>
  <c r="D8" i="12"/>
  <c r="H2" i="2"/>
  <c r="BM85" i="2" l="1"/>
  <c r="BM91" i="2"/>
  <c r="BM82" i="2"/>
  <c r="BM120" i="2"/>
  <c r="BM28" i="2"/>
  <c r="BM47" i="2"/>
  <c r="BM29" i="2"/>
  <c r="BM119" i="2"/>
  <c r="BM101" i="2"/>
  <c r="BM8" i="2"/>
  <c r="BM49" i="2"/>
  <c r="BM27" i="2"/>
  <c r="BM15" i="2"/>
  <c r="BM31" i="2"/>
  <c r="BM98" i="2"/>
  <c r="BM54" i="2"/>
  <c r="BM79" i="2"/>
  <c r="BM93" i="2"/>
  <c r="BM109" i="2"/>
  <c r="BM34" i="2"/>
  <c r="BM90" i="2"/>
  <c r="BM84" i="2"/>
  <c r="BM102" i="2"/>
  <c r="BM99" i="2"/>
  <c r="BM17" i="2"/>
  <c r="BM39" i="2"/>
  <c r="BM52" i="2"/>
  <c r="BM121" i="2"/>
  <c r="BM69" i="2"/>
  <c r="BM4" i="2"/>
  <c r="BM77" i="2"/>
  <c r="BM97" i="2"/>
  <c r="BM86" i="2"/>
  <c r="BM30" i="2"/>
  <c r="BM112" i="2"/>
  <c r="BM55" i="2"/>
  <c r="BM9" i="2"/>
  <c r="BM37" i="2"/>
  <c r="BM103" i="2"/>
  <c r="BM107" i="2"/>
  <c r="BM40" i="2"/>
  <c r="BM123" i="2"/>
  <c r="BM114" i="2"/>
  <c r="BM110" i="2"/>
  <c r="BM81" i="2"/>
  <c r="BM74" i="2"/>
  <c r="BM6" i="2"/>
  <c r="BM22" i="2"/>
  <c r="BM117" i="2"/>
  <c r="BM13" i="2"/>
  <c r="BM87" i="2"/>
  <c r="BM130" i="2"/>
  <c r="BM57" i="2"/>
  <c r="BM75" i="2"/>
  <c r="BM92" i="2"/>
  <c r="BM26" i="2"/>
  <c r="BM33" i="2"/>
  <c r="BM71" i="2"/>
  <c r="BM95" i="2"/>
  <c r="BM11" i="2"/>
  <c r="BM76" i="2"/>
  <c r="BM44" i="2"/>
  <c r="BM68" i="2"/>
  <c r="BM73" i="2"/>
  <c r="BM83" i="2"/>
  <c r="BM134" i="2" s="1"/>
  <c r="BM70" i="2"/>
  <c r="BM32" i="2"/>
  <c r="BM127" i="2"/>
  <c r="BM129" i="2"/>
  <c r="BM96" i="2"/>
  <c r="BM80" i="2"/>
  <c r="BM18" i="2"/>
  <c r="BM58" i="2"/>
  <c r="BM16" i="2"/>
  <c r="BM72" i="2"/>
  <c r="BM100" i="2"/>
  <c r="BM105" i="2"/>
  <c r="BM12" i="2"/>
  <c r="BM106" i="2"/>
  <c r="BM118" i="2"/>
  <c r="BM116" i="2"/>
  <c r="BM60" i="2"/>
  <c r="BM3" i="2"/>
  <c r="BM51" i="2"/>
  <c r="BM65" i="2"/>
  <c r="BM50" i="2"/>
  <c r="BM115" i="2"/>
  <c r="BM94" i="2"/>
  <c r="BM67" i="2"/>
  <c r="BM14" i="2"/>
  <c r="BM24" i="2"/>
  <c r="BM122" i="2"/>
  <c r="BM43" i="2"/>
  <c r="BM113" i="2"/>
  <c r="BM66" i="2"/>
  <c r="BM48" i="2"/>
  <c r="BM42" i="2"/>
  <c r="BM23" i="2"/>
  <c r="BM7" i="2"/>
  <c r="BM62" i="2"/>
  <c r="BM35" i="2"/>
  <c r="BM38" i="2"/>
  <c r="BM56" i="2"/>
  <c r="AQ2" i="2"/>
  <c r="AX2" i="2"/>
  <c r="BE2" i="2"/>
  <c r="AV2" i="2"/>
  <c r="AW2" i="2"/>
  <c r="AY2" i="2"/>
  <c r="AR2" i="2"/>
  <c r="AU2" i="2"/>
  <c r="BI2" i="2"/>
  <c r="BF2" i="2"/>
  <c r="BG2" i="2"/>
  <c r="BH2" i="2"/>
  <c r="AL2" i="2"/>
  <c r="AM2" i="2"/>
  <c r="AO2" i="2"/>
  <c r="AS2" i="2"/>
  <c r="AN2" i="2"/>
  <c r="AP2" i="2"/>
  <c r="AK2" i="2"/>
  <c r="AT2" i="2"/>
  <c r="BA2" i="2"/>
  <c r="BD2" i="2"/>
  <c r="AZ2" i="2"/>
  <c r="BB2" i="2"/>
  <c r="BC2" i="2"/>
  <c r="BM19" i="2"/>
  <c r="BM125" i="2"/>
  <c r="BM126" i="2"/>
  <c r="BM21" i="2"/>
  <c r="BM111" i="2"/>
  <c r="BM88" i="2"/>
  <c r="BM104" i="2"/>
  <c r="BM46" i="2"/>
  <c r="BM5" i="2"/>
  <c r="BM45" i="2"/>
  <c r="BM89" i="2"/>
  <c r="BM25" i="2"/>
  <c r="E8" i="12"/>
  <c r="F8" i="12" s="1"/>
  <c r="G8" i="12" l="1"/>
  <c r="BM2" i="2"/>
  <c r="E9" i="12"/>
  <c r="F9" i="12"/>
  <c r="G9" i="12" l="1"/>
  <c r="BF131" i="2"/>
  <c r="AK131" i="2"/>
  <c r="BC131" i="2"/>
  <c r="AL131" i="2"/>
  <c r="AM131" i="2"/>
  <c r="BE131" i="2"/>
  <c r="BG131" i="2"/>
  <c r="AZ131" i="2"/>
  <c r="AU131" i="2"/>
  <c r="BI131" i="2"/>
  <c r="AP131" i="2"/>
  <c r="AS131" i="2"/>
  <c r="BA131" i="2"/>
  <c r="AN131" i="2"/>
  <c r="AX131" i="2"/>
  <c r="AQ131" i="2"/>
  <c r="AV131" i="2"/>
  <c r="AY131" i="2"/>
  <c r="BB131" i="2"/>
  <c r="BD131" i="2"/>
  <c r="AT131" i="2"/>
  <c r="AR131" i="2"/>
  <c r="AO131" i="2"/>
  <c r="BH131" i="2"/>
  <c r="AW131" i="2"/>
  <c r="BM131" i="2" l="1"/>
  <c r="BI132" i="2"/>
  <c r="D9" i="12" l="1"/>
  <c r="H8" i="12"/>
  <c r="I8" i="12" s="1"/>
  <c r="H9" i="12" l="1"/>
  <c r="G10" i="12" s="1"/>
</calcChain>
</file>

<file path=xl/comments1.xml><?xml version="1.0" encoding="utf-8"?>
<comments xmlns="http://schemas.openxmlformats.org/spreadsheetml/2006/main">
  <authors>
    <author>Danna</author>
  </authors>
  <commentList>
    <comment ref="H2" authorId="0" shapeId="0">
      <text>
        <r>
          <rPr>
            <b/>
            <sz val="9"/>
            <color indexed="81"/>
            <rFont val="Tahoma"/>
            <family val="2"/>
          </rPr>
          <t>Danna:</t>
        </r>
        <r>
          <rPr>
            <sz val="9"/>
            <color indexed="81"/>
            <rFont val="Tahoma"/>
            <family val="2"/>
          </rPr>
          <t xml:space="preserve">
solo hay 9 en julio</t>
        </r>
      </text>
    </comment>
    <comment ref="K2" authorId="0" shapeId="0">
      <text>
        <r>
          <rPr>
            <b/>
            <sz val="9"/>
            <color indexed="81"/>
            <rFont val="Tahoma"/>
            <family val="2"/>
          </rPr>
          <t>Danna:</t>
        </r>
        <r>
          <rPr>
            <sz val="9"/>
            <color indexed="81"/>
            <rFont val="Tahoma"/>
            <family val="2"/>
          </rPr>
          <t xml:space="preserve">
si pero hay 5 en julio</t>
        </r>
      </text>
    </comment>
  </commentList>
</comments>
</file>

<file path=xl/comments2.xml><?xml version="1.0" encoding="utf-8"?>
<comments xmlns="http://schemas.openxmlformats.org/spreadsheetml/2006/main">
  <authors>
    <author>Danna</author>
    <author>Danna Salomé Martínez Ramírez</author>
  </authors>
  <commentList>
    <comment ref="R3" authorId="0" shapeId="0">
      <text>
        <r>
          <rPr>
            <b/>
            <sz val="9"/>
            <color indexed="81"/>
            <rFont val="Tahoma"/>
            <family val="2"/>
          </rPr>
          <t>Danna:</t>
        </r>
        <r>
          <rPr>
            <sz val="9"/>
            <color indexed="81"/>
            <rFont val="Tahoma"/>
            <family val="2"/>
          </rPr>
          <t xml:space="preserve">
28 dias ok + 1 dia en sln + 1 dia en sln</t>
        </r>
      </text>
    </comment>
    <comment ref="R12" authorId="0" shapeId="0">
      <text>
        <r>
          <rPr>
            <b/>
            <sz val="9"/>
            <color indexed="81"/>
            <rFont val="Tahoma"/>
            <family val="2"/>
          </rPr>
          <t>Danna:</t>
        </r>
        <r>
          <rPr>
            <sz val="9"/>
            <color indexed="81"/>
            <rFont val="Tahoma"/>
            <family val="2"/>
          </rPr>
          <t xml:space="preserve">
28 dias ok + 2 dias en sln</t>
        </r>
      </text>
    </comment>
    <comment ref="R18" authorId="0" shapeId="0">
      <text>
        <r>
          <rPr>
            <b/>
            <sz val="9"/>
            <color indexed="81"/>
            <rFont val="Tahoma"/>
            <family val="2"/>
          </rPr>
          <t>Danna:</t>
        </r>
        <r>
          <rPr>
            <sz val="9"/>
            <color indexed="81"/>
            <rFont val="Tahoma"/>
            <family val="2"/>
          </rPr>
          <t xml:space="preserve">
29 dias ok + 1 dia en sln
</t>
        </r>
      </text>
    </comment>
    <comment ref="R21" authorId="0" shapeId="0">
      <text>
        <r>
          <rPr>
            <b/>
            <sz val="9"/>
            <color indexed="81"/>
            <rFont val="Tahoma"/>
            <family val="2"/>
          </rPr>
          <t>Danna:</t>
        </r>
        <r>
          <rPr>
            <sz val="9"/>
            <color indexed="81"/>
            <rFont val="Tahoma"/>
            <family val="2"/>
          </rPr>
          <t xml:space="preserve">
28 dias ok + 2 dias en IGE</t>
        </r>
      </text>
    </comment>
    <comment ref="R22" authorId="0" shapeId="0">
      <text>
        <r>
          <rPr>
            <b/>
            <sz val="9"/>
            <color indexed="81"/>
            <rFont val="Tahoma"/>
            <family val="2"/>
          </rPr>
          <t>Danna:</t>
        </r>
        <r>
          <rPr>
            <sz val="9"/>
            <color indexed="81"/>
            <rFont val="Tahoma"/>
            <family val="2"/>
          </rPr>
          <t xml:space="preserve">
29 dias + 1 dia en sln</t>
        </r>
      </text>
    </comment>
    <comment ref="R26" authorId="0" shapeId="0">
      <text>
        <r>
          <rPr>
            <b/>
            <sz val="9"/>
            <color indexed="81"/>
            <rFont val="Tahoma"/>
            <family val="2"/>
          </rPr>
          <t>Danna:</t>
        </r>
        <r>
          <rPr>
            <sz val="9"/>
            <color indexed="81"/>
            <rFont val="Tahoma"/>
            <family val="2"/>
          </rPr>
          <t xml:space="preserve">
28 dias ok + 1 dia en sln + 1 dia en sln</t>
        </r>
      </text>
    </comment>
    <comment ref="R27" authorId="0" shapeId="0">
      <text>
        <r>
          <rPr>
            <b/>
            <sz val="9"/>
            <color indexed="81"/>
            <rFont val="Tahoma"/>
            <family val="2"/>
          </rPr>
          <t>Danna:</t>
        </r>
        <r>
          <rPr>
            <sz val="9"/>
            <color indexed="81"/>
            <rFont val="Tahoma"/>
            <family val="2"/>
          </rPr>
          <t xml:space="preserve">
24 DIAS OK + 1 DIA EN IGE + 1 DIA EN IGE + 2 DIAS EN IGE + 2 DIAS EN IGE. OJO QUE NO COINCIDE LA COTIZACION. FALTAN $6.000</t>
        </r>
      </text>
    </comment>
    <comment ref="R31" authorId="1" shapeId="0">
      <text>
        <r>
          <rPr>
            <b/>
            <sz val="9"/>
            <color indexed="81"/>
            <rFont val="Tahoma"/>
            <family val="2"/>
          </rPr>
          <t>Danna Salomé Martínez Ramírez:</t>
        </r>
        <r>
          <rPr>
            <sz val="9"/>
            <color indexed="81"/>
            <rFont val="Tahoma"/>
            <family val="2"/>
          </rPr>
          <t xml:space="preserve">
28 DIAS OK + 2 DIAS EN SLN</t>
        </r>
      </text>
    </comment>
    <comment ref="R36" authorId="0" shapeId="0">
      <text>
        <r>
          <rPr>
            <b/>
            <sz val="9"/>
            <color indexed="81"/>
            <rFont val="Tahoma"/>
            <family val="2"/>
          </rPr>
          <t>Danna:</t>
        </r>
        <r>
          <rPr>
            <sz val="9"/>
            <color indexed="81"/>
            <rFont val="Tahoma"/>
            <family val="2"/>
          </rPr>
          <t xml:space="preserve">
DICE INGRESO, SOLO LE COTIZARON 26 DIAS</t>
        </r>
      </text>
    </comment>
    <comment ref="R38" authorId="1" shapeId="0">
      <text>
        <r>
          <rPr>
            <b/>
            <sz val="9"/>
            <color indexed="81"/>
            <rFont val="Tahoma"/>
            <family val="2"/>
          </rPr>
          <t>Danna Salomé Martínez Ramírez:</t>
        </r>
        <r>
          <rPr>
            <sz val="9"/>
            <color indexed="81"/>
            <rFont val="Tahoma"/>
            <family val="2"/>
          </rPr>
          <t xml:space="preserve">
30 DIAS OK EN VST</t>
        </r>
      </text>
    </comment>
    <comment ref="R43" authorId="0" shapeId="0">
      <text>
        <r>
          <rPr>
            <b/>
            <sz val="9"/>
            <color indexed="81"/>
            <rFont val="Tahoma"/>
            <family val="2"/>
          </rPr>
          <t>Danna:</t>
        </r>
        <r>
          <rPr>
            <sz val="9"/>
            <color indexed="81"/>
            <rFont val="Tahoma"/>
            <family val="2"/>
          </rPr>
          <t xml:space="preserve">
solo 2 dias y dice retiro</t>
        </r>
      </text>
    </comment>
    <comment ref="R44" authorId="0" shapeId="0">
      <text>
        <r>
          <rPr>
            <b/>
            <sz val="9"/>
            <color indexed="81"/>
            <rFont val="Tahoma"/>
            <family val="2"/>
          </rPr>
          <t>Danna:</t>
        </r>
        <r>
          <rPr>
            <sz val="9"/>
            <color indexed="81"/>
            <rFont val="Tahoma"/>
            <family val="2"/>
          </rPr>
          <t xml:space="preserve">
DICE INGRESO. LE COTIZARON 20 DIAS</t>
        </r>
      </text>
    </comment>
    <comment ref="R45" authorId="0" shapeId="0">
      <text>
        <r>
          <rPr>
            <b/>
            <sz val="9"/>
            <color indexed="81"/>
            <rFont val="Tahoma"/>
            <family val="2"/>
          </rPr>
          <t>Danna:</t>
        </r>
        <r>
          <rPr>
            <sz val="9"/>
            <color indexed="81"/>
            <rFont val="Tahoma"/>
            <family val="2"/>
          </rPr>
          <t xml:space="preserve">
28 DIAS OK + 1 DIA EN SLN + 1 DIA EN SLN</t>
        </r>
      </text>
    </comment>
    <comment ref="R59" authorId="0" shapeId="0">
      <text>
        <r>
          <rPr>
            <b/>
            <sz val="9"/>
            <color indexed="81"/>
            <rFont val="Tahoma"/>
            <family val="2"/>
          </rPr>
          <t>Danna:</t>
        </r>
        <r>
          <rPr>
            <sz val="9"/>
            <color indexed="81"/>
            <rFont val="Tahoma"/>
            <family val="2"/>
          </rPr>
          <t xml:space="preserve">
28 DIAS OK + 1 DIA EN SLN + 1 DIA EN SLN</t>
        </r>
      </text>
    </comment>
    <comment ref="R61" authorId="0" shapeId="0">
      <text>
        <r>
          <rPr>
            <b/>
            <sz val="9"/>
            <color indexed="81"/>
            <rFont val="Tahoma"/>
            <family val="2"/>
          </rPr>
          <t>Danna:</t>
        </r>
        <r>
          <rPr>
            <sz val="9"/>
            <color indexed="81"/>
            <rFont val="Tahoma"/>
            <family val="2"/>
          </rPr>
          <t xml:space="preserve">
26 DIAS OK + 4 DIAS EN VAC (L)</t>
        </r>
      </text>
    </comment>
    <comment ref="R63" authorId="1" shapeId="0">
      <text>
        <r>
          <rPr>
            <b/>
            <sz val="9"/>
            <color indexed="81"/>
            <rFont val="Tahoma"/>
            <family val="2"/>
          </rPr>
          <t>Danna Salomé Martínez Ramírez:</t>
        </r>
        <r>
          <rPr>
            <sz val="9"/>
            <color indexed="81"/>
            <rFont val="Tahoma"/>
            <family val="2"/>
          </rPr>
          <t xml:space="preserve">
27 DIAS OK + 3 DIAS EN VAC (L) 
</t>
        </r>
      </text>
    </comment>
    <comment ref="R64" authorId="0" shapeId="0">
      <text>
        <r>
          <rPr>
            <b/>
            <sz val="9"/>
            <color indexed="81"/>
            <rFont val="Tahoma"/>
            <family val="2"/>
          </rPr>
          <t>Danna:</t>
        </r>
        <r>
          <rPr>
            <sz val="9"/>
            <color indexed="81"/>
            <rFont val="Tahoma"/>
            <family val="2"/>
          </rPr>
          <t xml:space="preserve">
26 dias ok + 2 dias en sln + 2 dias en ige</t>
        </r>
      </text>
    </comment>
    <comment ref="R74" authorId="0" shapeId="0">
      <text>
        <r>
          <rPr>
            <b/>
            <sz val="9"/>
            <color indexed="81"/>
            <rFont val="Tahoma"/>
            <family val="2"/>
          </rPr>
          <t>Danna:</t>
        </r>
        <r>
          <rPr>
            <sz val="9"/>
            <color indexed="81"/>
            <rFont val="Tahoma"/>
            <family val="2"/>
          </rPr>
          <t xml:space="preserve">
23 DIAS OK + 7 DIAS EN SLN</t>
        </r>
      </text>
    </comment>
    <comment ref="R79" authorId="1" shapeId="0">
      <text>
        <r>
          <rPr>
            <b/>
            <sz val="9"/>
            <color indexed="81"/>
            <rFont val="Tahoma"/>
            <family val="2"/>
          </rPr>
          <t>Danna Salomé Martínez Ramírez:</t>
        </r>
        <r>
          <rPr>
            <sz val="9"/>
            <color indexed="81"/>
            <rFont val="Tahoma"/>
            <family val="2"/>
          </rPr>
          <t xml:space="preserve">
28 DIAS OK + 2 DIAS EN SLN</t>
        </r>
      </text>
    </comment>
    <comment ref="R90" authorId="0" shapeId="0">
      <text>
        <r>
          <rPr>
            <b/>
            <sz val="9"/>
            <color indexed="81"/>
            <rFont val="Tahoma"/>
            <family val="2"/>
          </rPr>
          <t>Danna:</t>
        </r>
        <r>
          <rPr>
            <sz val="9"/>
            <color indexed="81"/>
            <rFont val="Tahoma"/>
            <family val="2"/>
          </rPr>
          <t xml:space="preserve">
28 dias ok + 2 dias en IGE</t>
        </r>
      </text>
    </comment>
    <comment ref="R99" authorId="0" shapeId="0">
      <text>
        <r>
          <rPr>
            <b/>
            <sz val="9"/>
            <color indexed="81"/>
            <rFont val="Tahoma"/>
            <family val="2"/>
          </rPr>
          <t>Danna:</t>
        </r>
        <r>
          <rPr>
            <sz val="9"/>
            <color indexed="81"/>
            <rFont val="Tahoma"/>
            <family val="2"/>
          </rPr>
          <t xml:space="preserve">
3 DIAS OK + 2 DIAS EN IGE + 12 DIAS EN IGE + 13 DIAS EN IGE. PERO ERROR EN EL IBC, NO DA LA BASE DE COTIZACION</t>
        </r>
      </text>
    </comment>
    <comment ref="R127" authorId="0" shapeId="0">
      <text>
        <r>
          <rPr>
            <b/>
            <sz val="9"/>
            <color indexed="81"/>
            <rFont val="Tahoma"/>
            <family val="2"/>
          </rPr>
          <t>Danna:</t>
        </r>
        <r>
          <rPr>
            <sz val="9"/>
            <color indexed="81"/>
            <rFont val="Tahoma"/>
            <family val="2"/>
          </rPr>
          <t xml:space="preserve">
28 DIAS OK + 2 DIAS EN IGE</t>
        </r>
      </text>
    </comment>
    <comment ref="R129" authorId="0" shapeId="0">
      <text>
        <r>
          <rPr>
            <b/>
            <sz val="9"/>
            <color indexed="81"/>
            <rFont val="Tahoma"/>
            <family val="2"/>
          </rPr>
          <t>Danna:</t>
        </r>
        <r>
          <rPr>
            <sz val="9"/>
            <color indexed="81"/>
            <rFont val="Tahoma"/>
            <family val="2"/>
          </rPr>
          <t xml:space="preserve">
28 DIAS OK + 2 DIAS EN IGE</t>
        </r>
      </text>
    </comment>
    <comment ref="R132" authorId="0" shapeId="0">
      <text>
        <r>
          <rPr>
            <b/>
            <sz val="9"/>
            <color indexed="81"/>
            <rFont val="Tahoma"/>
            <family val="2"/>
          </rPr>
          <t>Danna:</t>
        </r>
        <r>
          <rPr>
            <sz val="9"/>
            <color indexed="81"/>
            <rFont val="Tahoma"/>
            <family val="2"/>
          </rPr>
          <t xml:space="preserve">
AL PARECER ES PENSIONADO PORQUE NO LE COTIZAN PENSION</t>
        </r>
      </text>
    </comment>
    <comment ref="S132" authorId="0" shapeId="0">
      <text>
        <r>
          <rPr>
            <b/>
            <sz val="9"/>
            <color indexed="81"/>
            <rFont val="Tahoma"/>
            <family val="2"/>
          </rPr>
          <t>Danna:</t>
        </r>
        <r>
          <rPr>
            <sz val="9"/>
            <color indexed="81"/>
            <rFont val="Tahoma"/>
            <family val="2"/>
          </rPr>
          <t xml:space="preserve">
Ojo que le tienen que pagar en la nomina de Agosto $248.444 por concepto de APORTE PENSION EMPLEADO 4%; toda vez que se lo han venido descontando desde marzo de 2024 y este supervisor no cotiza a pension </t>
        </r>
      </text>
    </comment>
    <comment ref="R145" authorId="0" shapeId="0">
      <text>
        <r>
          <rPr>
            <b/>
            <sz val="9"/>
            <color indexed="81"/>
            <rFont val="Tahoma"/>
            <family val="2"/>
          </rPr>
          <t>Danna:</t>
        </r>
        <r>
          <rPr>
            <sz val="9"/>
            <color indexed="81"/>
            <rFont val="Tahoma"/>
            <family val="2"/>
          </rPr>
          <t xml:space="preserve">
28 dias ok + 2 dias en ige</t>
        </r>
      </text>
    </comment>
    <comment ref="R157" authorId="0" shapeId="0">
      <text>
        <r>
          <rPr>
            <b/>
            <sz val="9"/>
            <color indexed="81"/>
            <rFont val="Tahoma"/>
            <family val="2"/>
          </rPr>
          <t>Danna:</t>
        </r>
        <r>
          <rPr>
            <sz val="9"/>
            <color indexed="81"/>
            <rFont val="Tahoma"/>
            <family val="2"/>
          </rPr>
          <t xml:space="preserve">
DICE RETIRO. SOLO LE COTIZARON 6 DIAS</t>
        </r>
      </text>
    </comment>
    <comment ref="R164" authorId="0" shapeId="0">
      <text>
        <r>
          <rPr>
            <b/>
            <sz val="9"/>
            <color indexed="81"/>
            <rFont val="Tahoma"/>
            <family val="2"/>
          </rPr>
          <t>Danna:</t>
        </r>
        <r>
          <rPr>
            <sz val="9"/>
            <color indexed="81"/>
            <rFont val="Tahoma"/>
            <family val="2"/>
          </rPr>
          <t xml:space="preserve">
DICE INGRESO. LE COTIZARON 29 DIAS
</t>
        </r>
      </text>
    </comment>
    <comment ref="R165" authorId="0" shapeId="0">
      <text>
        <r>
          <rPr>
            <b/>
            <sz val="9"/>
            <color indexed="81"/>
            <rFont val="Tahoma"/>
            <family val="2"/>
          </rPr>
          <t>Danna:</t>
        </r>
        <r>
          <rPr>
            <sz val="9"/>
            <color indexed="81"/>
            <rFont val="Tahoma"/>
            <family val="2"/>
          </rPr>
          <t xml:space="preserve">
28 DIAS OK + 2 DIAS EN SLN</t>
        </r>
      </text>
    </comment>
    <comment ref="R169" authorId="1" shapeId="0">
      <text>
        <r>
          <rPr>
            <b/>
            <sz val="9"/>
            <color indexed="81"/>
            <rFont val="Tahoma"/>
            <family val="2"/>
          </rPr>
          <t>Danna Salomé Martínez Ramírez:</t>
        </r>
        <r>
          <rPr>
            <sz val="9"/>
            <color indexed="81"/>
            <rFont val="Tahoma"/>
            <family val="2"/>
          </rPr>
          <t xml:space="preserve">
le cotizaron sobre 1.390.000; cuando a los otros jardineros les cotizaron sobre 1,356,000</t>
        </r>
      </text>
    </comment>
    <comment ref="R170" authorId="0" shapeId="0">
      <text>
        <r>
          <rPr>
            <b/>
            <sz val="9"/>
            <color indexed="81"/>
            <rFont val="Tahoma"/>
            <family val="2"/>
          </rPr>
          <t>Danna:</t>
        </r>
        <r>
          <rPr>
            <sz val="9"/>
            <color indexed="81"/>
            <rFont val="Tahoma"/>
            <family val="2"/>
          </rPr>
          <t xml:space="preserve">
DICE RETIRO. SOLO LE COTIZARON 13 DIAS</t>
        </r>
      </text>
    </comment>
    <comment ref="R171" authorId="0" shapeId="0">
      <text>
        <r>
          <rPr>
            <b/>
            <sz val="9"/>
            <color indexed="81"/>
            <rFont val="Tahoma"/>
            <family val="2"/>
          </rPr>
          <t>Danna:</t>
        </r>
        <r>
          <rPr>
            <sz val="9"/>
            <color indexed="81"/>
            <rFont val="Tahoma"/>
            <family val="2"/>
          </rPr>
          <t xml:space="preserve">
DICE INGRESO. SOLO LE COTIZARON 6 DIAS</t>
        </r>
      </text>
    </comment>
    <comment ref="R172" authorId="1" shapeId="0">
      <text>
        <r>
          <rPr>
            <b/>
            <sz val="9"/>
            <color indexed="81"/>
            <rFont val="Tahoma"/>
            <family val="2"/>
          </rPr>
          <t>Danna Salomé Martínez Ramírez:</t>
        </r>
        <r>
          <rPr>
            <sz val="9"/>
            <color indexed="81"/>
            <rFont val="Tahoma"/>
            <family val="2"/>
          </rPr>
          <t xml:space="preserve">
30 DIAS OK CON VST</t>
        </r>
      </text>
    </comment>
    <comment ref="R173" authorId="0" shapeId="0">
      <text>
        <r>
          <rPr>
            <b/>
            <sz val="9"/>
            <color indexed="81"/>
            <rFont val="Tahoma"/>
            <family val="2"/>
          </rPr>
          <t>Danna:</t>
        </r>
        <r>
          <rPr>
            <sz val="9"/>
            <color indexed="81"/>
            <rFont val="Tahoma"/>
            <family val="2"/>
          </rPr>
          <t xml:space="preserve">
DICE RETIRO. LE COTIZARON 25 DIAS</t>
        </r>
      </text>
    </comment>
    <comment ref="R179" authorId="0" shapeId="0">
      <text>
        <r>
          <rPr>
            <b/>
            <sz val="9"/>
            <color indexed="81"/>
            <rFont val="Tahoma"/>
            <family val="2"/>
          </rPr>
          <t>Danna:</t>
        </r>
        <r>
          <rPr>
            <sz val="9"/>
            <color indexed="81"/>
            <rFont val="Tahoma"/>
            <family val="2"/>
          </rPr>
          <t xml:space="preserve">
DICE INGRESO. SOLO LE COTIZARON 14 DIAS
</t>
        </r>
      </text>
    </comment>
    <comment ref="R180" authorId="0" shapeId="0">
      <text>
        <r>
          <rPr>
            <b/>
            <sz val="9"/>
            <color indexed="81"/>
            <rFont val="Tahoma"/>
            <family val="2"/>
          </rPr>
          <t>Danna:</t>
        </r>
        <r>
          <rPr>
            <sz val="9"/>
            <color indexed="81"/>
            <rFont val="Tahoma"/>
            <family val="2"/>
          </rPr>
          <t xml:space="preserve">
9 DIAS OK + 21 DIAS EN SLN</t>
        </r>
      </text>
    </comment>
    <comment ref="R184" authorId="0" shapeId="0">
      <text>
        <r>
          <rPr>
            <b/>
            <sz val="9"/>
            <color indexed="81"/>
            <rFont val="Tahoma"/>
            <family val="2"/>
          </rPr>
          <t>Danna:</t>
        </r>
        <r>
          <rPr>
            <sz val="9"/>
            <color indexed="81"/>
            <rFont val="Tahoma"/>
            <family val="2"/>
          </rPr>
          <t xml:space="preserve">
27 DIAS OK + 1 DIA EN IGE + 2 DIAS EN IGE</t>
        </r>
      </text>
    </comment>
    <comment ref="A185" authorId="1" shapeId="0">
      <text>
        <r>
          <rPr>
            <b/>
            <sz val="9"/>
            <color indexed="81"/>
            <rFont val="Tahoma"/>
            <family val="2"/>
          </rPr>
          <t>Danna Salomé Martínez Ramírez:</t>
        </r>
        <r>
          <rPr>
            <sz val="9"/>
            <color indexed="81"/>
            <rFont val="Tahoma"/>
            <family val="2"/>
          </rPr>
          <t xml:space="preserve">
ESTA OPERARIA ESTA EN EL CADE PATIO BONITO</t>
        </r>
      </text>
    </comment>
    <comment ref="R188" authorId="0" shapeId="0">
      <text>
        <r>
          <rPr>
            <b/>
            <sz val="9"/>
            <color indexed="81"/>
            <rFont val="Tahoma"/>
            <family val="2"/>
          </rPr>
          <t>Danna:</t>
        </r>
        <r>
          <rPr>
            <sz val="9"/>
            <color indexed="81"/>
            <rFont val="Tahoma"/>
            <family val="2"/>
          </rPr>
          <t xml:space="preserve">
23 dias ok y dice retiro + 1 dia en sln + 1 dia en ige + 2 dias en sln</t>
        </r>
      </text>
    </comment>
    <comment ref="R191" authorId="1" shapeId="0">
      <text>
        <r>
          <rPr>
            <b/>
            <sz val="9"/>
            <color indexed="81"/>
            <rFont val="Tahoma"/>
            <family val="2"/>
          </rPr>
          <t>Danna Salomé Martínez Ramírez:</t>
        </r>
        <r>
          <rPr>
            <sz val="9"/>
            <color indexed="81"/>
            <rFont val="Tahoma"/>
            <family val="2"/>
          </rPr>
          <t xml:space="preserve">
25 dias ok + 2 dias en SLN + 3 DIAS EN SLN</t>
        </r>
      </text>
    </comment>
    <comment ref="R195" authorId="0" shapeId="0">
      <text>
        <r>
          <rPr>
            <b/>
            <sz val="9"/>
            <color indexed="81"/>
            <rFont val="Tahoma"/>
            <family val="2"/>
          </rPr>
          <t>Danna:</t>
        </r>
        <r>
          <rPr>
            <sz val="9"/>
            <color indexed="81"/>
            <rFont val="Tahoma"/>
            <family val="2"/>
          </rPr>
          <t xml:space="preserve">
2 DIAS OK + 2 DIAS EN IGE + 5 DIAS EN IGE + 7 DIAS EN SLN +7 DIAS EN IGE + 7 DIAS EN IGE</t>
        </r>
      </text>
    </comment>
    <comment ref="R197" authorId="0" shapeId="0">
      <text>
        <r>
          <rPr>
            <b/>
            <sz val="9"/>
            <color indexed="81"/>
            <rFont val="Tahoma"/>
            <family val="2"/>
          </rPr>
          <t>Danna:</t>
        </r>
        <r>
          <rPr>
            <sz val="9"/>
            <color indexed="81"/>
            <rFont val="Tahoma"/>
            <family val="2"/>
          </rPr>
          <t xml:space="preserve">
le cotizaron 19 dias</t>
        </r>
      </text>
    </comment>
    <comment ref="R198" authorId="0" shapeId="0">
      <text>
        <r>
          <rPr>
            <b/>
            <sz val="9"/>
            <color indexed="81"/>
            <rFont val="Tahoma"/>
            <family val="2"/>
          </rPr>
          <t>Danna:</t>
        </r>
        <r>
          <rPr>
            <sz val="9"/>
            <color indexed="81"/>
            <rFont val="Tahoma"/>
            <family val="2"/>
          </rPr>
          <t xml:space="preserve">
2 DIAS EN IGE + 6 DIAS EN IGE + 6 DIAS EN IGE + 16 DIAS EN IGE. PERO NO DA LA BASE DE COTIZACION </t>
        </r>
      </text>
    </comment>
    <comment ref="R200" authorId="0" shapeId="0">
      <text>
        <r>
          <rPr>
            <b/>
            <sz val="9"/>
            <color indexed="81"/>
            <rFont val="Tahoma"/>
            <family val="2"/>
          </rPr>
          <t>Danna:</t>
        </r>
        <r>
          <rPr>
            <sz val="9"/>
            <color indexed="81"/>
            <rFont val="Tahoma"/>
            <family val="2"/>
          </rPr>
          <t xml:space="preserve">
28 dias ok + 2 dias en ige</t>
        </r>
      </text>
    </comment>
    <comment ref="R201" authorId="0" shapeId="0">
      <text>
        <r>
          <rPr>
            <b/>
            <sz val="9"/>
            <color indexed="81"/>
            <rFont val="Tahoma"/>
            <family val="2"/>
          </rPr>
          <t>Danna:</t>
        </r>
        <r>
          <rPr>
            <sz val="9"/>
            <color indexed="81"/>
            <rFont val="Tahoma"/>
            <family val="2"/>
          </rPr>
          <t xml:space="preserve">
28 DIAS OK + 2 DIAS EN IGE</t>
        </r>
      </text>
    </comment>
    <comment ref="R202" authorId="0" shapeId="0">
      <text>
        <r>
          <rPr>
            <b/>
            <sz val="9"/>
            <color indexed="81"/>
            <rFont val="Tahoma"/>
            <family val="2"/>
          </rPr>
          <t>Danna:</t>
        </r>
        <r>
          <rPr>
            <sz val="9"/>
            <color indexed="81"/>
            <rFont val="Tahoma"/>
            <family val="2"/>
          </rPr>
          <t xml:space="preserve">
28 DIAS OK + 2 DIAS EN IGE</t>
        </r>
      </text>
    </comment>
  </commentList>
</comments>
</file>

<file path=xl/sharedStrings.xml><?xml version="1.0" encoding="utf-8"?>
<sst xmlns="http://schemas.openxmlformats.org/spreadsheetml/2006/main" count="2768" uniqueCount="941">
  <si>
    <t>SEDE</t>
  </si>
  <si>
    <t>Numero Documento</t>
  </si>
  <si>
    <t>Primer Apellido</t>
  </si>
  <si>
    <t>Segundo Apellido</t>
  </si>
  <si>
    <t>Primer Nombre</t>
  </si>
  <si>
    <t>Segundo Nombre</t>
  </si>
  <si>
    <t>Cargo</t>
  </si>
  <si>
    <t>Fecha Inicio</t>
  </si>
  <si>
    <t xml:space="preserve">DIAS PAGOS </t>
  </si>
  <si>
    <t>ACEVEDO</t>
  </si>
  <si>
    <t>BOHORQUEZ</t>
  </si>
  <si>
    <t>SAMUEL</t>
  </si>
  <si>
    <t>DAVID</t>
  </si>
  <si>
    <t>OPERARIO DE MANTENIMIENTO</t>
  </si>
  <si>
    <t>18/03/2024</t>
  </si>
  <si>
    <t>ALARCON</t>
  </si>
  <si>
    <t>MARINO</t>
  </si>
  <si>
    <t>JULIO</t>
  </si>
  <si>
    <t>CESAR</t>
  </si>
  <si>
    <t>RODRIGUEZ</t>
  </si>
  <si>
    <t>NOHORA</t>
  </si>
  <si>
    <t>EDITH</t>
  </si>
  <si>
    <t>URA</t>
  </si>
  <si>
    <t>MINI</t>
  </si>
  <si>
    <t>JOHANA</t>
  </si>
  <si>
    <t>ALFONSO</t>
  </si>
  <si>
    <t>YULIANA</t>
  </si>
  <si>
    <t>YENNIFER</t>
  </si>
  <si>
    <t>ALVAREZ</t>
  </si>
  <si>
    <t>AGUIRRE</t>
  </si>
  <si>
    <t>ERIKA</t>
  </si>
  <si>
    <t>LILIANA</t>
  </si>
  <si>
    <t>YENI</t>
  </si>
  <si>
    <t>MARITZA</t>
  </si>
  <si>
    <t>ANGULO</t>
  </si>
  <si>
    <t>GARCIA</t>
  </si>
  <si>
    <t>MAIRA</t>
  </si>
  <si>
    <t>LICETH</t>
  </si>
  <si>
    <t>ARAQUE</t>
  </si>
  <si>
    <t>SILVA</t>
  </si>
  <si>
    <t>MIRYAM</t>
  </si>
  <si>
    <t>AREVALO</t>
  </si>
  <si>
    <t>CASTELLANOS</t>
  </si>
  <si>
    <t>CRISTIAN</t>
  </si>
  <si>
    <t>ARLEY</t>
  </si>
  <si>
    <t>SUPERVISOR</t>
  </si>
  <si>
    <t>MEDINA</t>
  </si>
  <si>
    <t>MARIA</t>
  </si>
  <si>
    <t>GLADIS</t>
  </si>
  <si>
    <t>ASPRILLA</t>
  </si>
  <si>
    <t>LONDONO</t>
  </si>
  <si>
    <t>ROSAURA</t>
  </si>
  <si>
    <t>AVILA</t>
  </si>
  <si>
    <t>ADRIANA</t>
  </si>
  <si>
    <t>MILENA</t>
  </si>
  <si>
    <t>LOAIZA</t>
  </si>
  <si>
    <t>PERDOMO</t>
  </si>
  <si>
    <t>FERNANDA</t>
  </si>
  <si>
    <t>BARBOSA</t>
  </si>
  <si>
    <t>HERRERA</t>
  </si>
  <si>
    <t>DIANA</t>
  </si>
  <si>
    <t>BECERRA</t>
  </si>
  <si>
    <t>VALENCIA</t>
  </si>
  <si>
    <t>YULEIDY</t>
  </si>
  <si>
    <t>BEDOYA</t>
  </si>
  <si>
    <t>GUZMAN</t>
  </si>
  <si>
    <t>DAISSY</t>
  </si>
  <si>
    <t>BENAVIDES</t>
  </si>
  <si>
    <t>ALEXANDRA</t>
  </si>
  <si>
    <t>BERMUDEZ</t>
  </si>
  <si>
    <t>HIGUITA</t>
  </si>
  <si>
    <t>LUZ</t>
  </si>
  <si>
    <t>MARABEDY</t>
  </si>
  <si>
    <t>MARTINEZ</t>
  </si>
  <si>
    <t>JENNY</t>
  </si>
  <si>
    <t>KIMBERLY</t>
  </si>
  <si>
    <t>BOSCAN</t>
  </si>
  <si>
    <t>GAMARRA</t>
  </si>
  <si>
    <t>ANGEL</t>
  </si>
  <si>
    <t>ARMANDO</t>
  </si>
  <si>
    <t>BRICENO</t>
  </si>
  <si>
    <t>MEZA</t>
  </si>
  <si>
    <t>YIBEIXY</t>
  </si>
  <si>
    <t>BUITRAGO</t>
  </si>
  <si>
    <t>BOBADILLA</t>
  </si>
  <si>
    <t>ANA</t>
  </si>
  <si>
    <t>ODILIA</t>
  </si>
  <si>
    <t>CAICEDO</t>
  </si>
  <si>
    <t>EDGAR</t>
  </si>
  <si>
    <t>JARDINERO</t>
  </si>
  <si>
    <t>CAMARGO</t>
  </si>
  <si>
    <t>ALBA</t>
  </si>
  <si>
    <t>BLANCA</t>
  </si>
  <si>
    <t>ESTRELLA</t>
  </si>
  <si>
    <t>HERNANDEZ</t>
  </si>
  <si>
    <t>LUISA</t>
  </si>
  <si>
    <t>CANARIA</t>
  </si>
  <si>
    <t>MACHUCA</t>
  </si>
  <si>
    <t>MIGUEL</t>
  </si>
  <si>
    <t>ANTONIO</t>
  </si>
  <si>
    <t>CARDENAS</t>
  </si>
  <si>
    <t>FALON</t>
  </si>
  <si>
    <t>NELSY</t>
  </si>
  <si>
    <t>XIOMARA</t>
  </si>
  <si>
    <t>SIERRA</t>
  </si>
  <si>
    <t>ANGELA</t>
  </si>
  <si>
    <t>VIVIANA</t>
  </si>
  <si>
    <t>CARRILLO</t>
  </si>
  <si>
    <t>ESPINOSA</t>
  </si>
  <si>
    <t>LAURA</t>
  </si>
  <si>
    <t>MARCELA</t>
  </si>
  <si>
    <t>SARMIENTO</t>
  </si>
  <si>
    <t>ANGIE</t>
  </si>
  <si>
    <t>LIZETH</t>
  </si>
  <si>
    <t>CASTRO</t>
  </si>
  <si>
    <t>GUTIERREZ</t>
  </si>
  <si>
    <t>RUTH</t>
  </si>
  <si>
    <t>MARINELA</t>
  </si>
  <si>
    <t>CATUCHE</t>
  </si>
  <si>
    <t>PIAMBA</t>
  </si>
  <si>
    <t>MARINA</t>
  </si>
  <si>
    <t>CERQUERA</t>
  </si>
  <si>
    <t>PARRA</t>
  </si>
  <si>
    <t>GINA</t>
  </si>
  <si>
    <t>ALEJANDRA</t>
  </si>
  <si>
    <t>CHAPARRO</t>
  </si>
  <si>
    <t>MORA</t>
  </si>
  <si>
    <t>GLORIA</t>
  </si>
  <si>
    <t>ESPERANZA</t>
  </si>
  <si>
    <t>CHIPATECUA</t>
  </si>
  <si>
    <t>CUBILLOS</t>
  </si>
  <si>
    <t>ARTURO</t>
  </si>
  <si>
    <t>CIFUENTES</t>
  </si>
  <si>
    <t>CITA</t>
  </si>
  <si>
    <t>ORLANDO</t>
  </si>
  <si>
    <t>CORTES</t>
  </si>
  <si>
    <t>MURCIA</t>
  </si>
  <si>
    <t>DIOMAR</t>
  </si>
  <si>
    <t>CUADROS</t>
  </si>
  <si>
    <t>VALDERRAMA</t>
  </si>
  <si>
    <t>FRANCEID</t>
  </si>
  <si>
    <t>DE LA CRUZ</t>
  </si>
  <si>
    <t>RIVERA</t>
  </si>
  <si>
    <t>SOLMARY</t>
  </si>
  <si>
    <t>DIAZ</t>
  </si>
  <si>
    <t>LORENA</t>
  </si>
  <si>
    <t>PATRICIA</t>
  </si>
  <si>
    <t>FLOREZ</t>
  </si>
  <si>
    <t>QUIROGA</t>
  </si>
  <si>
    <t>MILA</t>
  </si>
  <si>
    <t>FUENTES</t>
  </si>
  <si>
    <t>BALDOVINO</t>
  </si>
  <si>
    <t>JORGE</t>
  </si>
  <si>
    <t>LUIS</t>
  </si>
  <si>
    <t>FULA</t>
  </si>
  <si>
    <t>VALBUENA</t>
  </si>
  <si>
    <t>YANETH</t>
  </si>
  <si>
    <t>FUQUENE</t>
  </si>
  <si>
    <t>CANON</t>
  </si>
  <si>
    <t>SANDRA</t>
  </si>
  <si>
    <t>YAMILE</t>
  </si>
  <si>
    <t>FONSECA</t>
  </si>
  <si>
    <t>GARZON</t>
  </si>
  <si>
    <t>GIRALDO</t>
  </si>
  <si>
    <t>JAIRO</t>
  </si>
  <si>
    <t>ALONSO</t>
  </si>
  <si>
    <t>LOPEZ</t>
  </si>
  <si>
    <t>ESTELLA</t>
  </si>
  <si>
    <t>GOMEZ</t>
  </si>
  <si>
    <t>MARTHA</t>
  </si>
  <si>
    <t>RUBIELA</t>
  </si>
  <si>
    <t>ORTIZ</t>
  </si>
  <si>
    <t>GERALDINE</t>
  </si>
  <si>
    <t>MARISOL</t>
  </si>
  <si>
    <t>VIVERO</t>
  </si>
  <si>
    <t>CARLOS</t>
  </si>
  <si>
    <t>MARIO</t>
  </si>
  <si>
    <t>GUAYARA</t>
  </si>
  <si>
    <t>MOSCOSO</t>
  </si>
  <si>
    <t>MARIS</t>
  </si>
  <si>
    <t>MELDA</t>
  </si>
  <si>
    <t>GUERRERO</t>
  </si>
  <si>
    <t>CHISABA</t>
  </si>
  <si>
    <t>ROCIO</t>
  </si>
  <si>
    <t>LUNA</t>
  </si>
  <si>
    <t>MARIBEL</t>
  </si>
  <si>
    <t>HURTADO</t>
  </si>
  <si>
    <t>ALEXANDER</t>
  </si>
  <si>
    <t>IGLESIAS</t>
  </si>
  <si>
    <t>BARRIOS</t>
  </si>
  <si>
    <t>YERIBETH</t>
  </si>
  <si>
    <t>OPERARIO DE ASEO Y CAFETERIA</t>
  </si>
  <si>
    <t>INFANTE</t>
  </si>
  <si>
    <t>DANIEL</t>
  </si>
  <si>
    <t>JARAMILLO</t>
  </si>
  <si>
    <t>TOBON</t>
  </si>
  <si>
    <t>SIRLEY</t>
  </si>
  <si>
    <t>LARA</t>
  </si>
  <si>
    <t>PINZON</t>
  </si>
  <si>
    <t>LEON</t>
  </si>
  <si>
    <t>ESCOBAR</t>
  </si>
  <si>
    <t>LEYDY</t>
  </si>
  <si>
    <t>YOANA</t>
  </si>
  <si>
    <t>VILLEGAS</t>
  </si>
  <si>
    <t>EDILSON</t>
  </si>
  <si>
    <t>ALDANA</t>
  </si>
  <si>
    <t>KAREN</t>
  </si>
  <si>
    <t>YULIE</t>
  </si>
  <si>
    <t>DORIA</t>
  </si>
  <si>
    <t>PEDRO</t>
  </si>
  <si>
    <t>OPERARIO AUXILIAR</t>
  </si>
  <si>
    <t>MERY</t>
  </si>
  <si>
    <t>SANCHEZ</t>
  </si>
  <si>
    <t>DEL PILAR</t>
  </si>
  <si>
    <t>LOZANO</t>
  </si>
  <si>
    <t>MANRIQUE</t>
  </si>
  <si>
    <t>JAIDY</t>
  </si>
  <si>
    <t>OCHOA</t>
  </si>
  <si>
    <t>GLADYS</t>
  </si>
  <si>
    <t>STELLA</t>
  </si>
  <si>
    <t>ORTEGA</t>
  </si>
  <si>
    <t>MONTOYA</t>
  </si>
  <si>
    <t>PAOLA</t>
  </si>
  <si>
    <t>ANDREA</t>
  </si>
  <si>
    <t>MORALES</t>
  </si>
  <si>
    <t>CHAVEZ</t>
  </si>
  <si>
    <t>JOSE</t>
  </si>
  <si>
    <t>NAVARRO</t>
  </si>
  <si>
    <t>ARRIETA</t>
  </si>
  <si>
    <t>LICENIA</t>
  </si>
  <si>
    <t>MERCEDES</t>
  </si>
  <si>
    <t>NUNEZ</t>
  </si>
  <si>
    <t>YULI</t>
  </si>
  <si>
    <t>LEIDY</t>
  </si>
  <si>
    <t>OROZCO</t>
  </si>
  <si>
    <t>BELLAMIRA</t>
  </si>
  <si>
    <t>TIVISAY</t>
  </si>
  <si>
    <t>KATERINE</t>
  </si>
  <si>
    <t>PALMED</t>
  </si>
  <si>
    <t>HUERTA</t>
  </si>
  <si>
    <t>PANCHE</t>
  </si>
  <si>
    <t>SERNA</t>
  </si>
  <si>
    <t>PENA</t>
  </si>
  <si>
    <t>CUELLAR</t>
  </si>
  <si>
    <t>ALEXIS</t>
  </si>
  <si>
    <t>PERALTA</t>
  </si>
  <si>
    <t>OSCAR</t>
  </si>
  <si>
    <t>HUMBERTO</t>
  </si>
  <si>
    <t>PESTANA</t>
  </si>
  <si>
    <t>MARELIS</t>
  </si>
  <si>
    <t>PORTELA</t>
  </si>
  <si>
    <t>CANIZALES</t>
  </si>
  <si>
    <t>PUENTES</t>
  </si>
  <si>
    <t>ROSA</t>
  </si>
  <si>
    <t>CORREDOR</t>
  </si>
  <si>
    <t>DORA</t>
  </si>
  <si>
    <t>PULIDO</t>
  </si>
  <si>
    <t>GONZALEZ</t>
  </si>
  <si>
    <t>BERTULIO</t>
  </si>
  <si>
    <t>QUELAL</t>
  </si>
  <si>
    <t>RUIZ</t>
  </si>
  <si>
    <t>DIEGO</t>
  </si>
  <si>
    <t>MARIN</t>
  </si>
  <si>
    <t>QUINTERO</t>
  </si>
  <si>
    <t>YENNY</t>
  </si>
  <si>
    <t>KATHERINE</t>
  </si>
  <si>
    <t>RAMIREZ</t>
  </si>
  <si>
    <t>EPEIYU</t>
  </si>
  <si>
    <t>YENIS</t>
  </si>
  <si>
    <t>DEL CARMEN</t>
  </si>
  <si>
    <t>MENDEZ</t>
  </si>
  <si>
    <t>OLGA</t>
  </si>
  <si>
    <t>LUCIA</t>
  </si>
  <si>
    <t>TORRES</t>
  </si>
  <si>
    <t>RAMOS</t>
  </si>
  <si>
    <t>DORIS</t>
  </si>
  <si>
    <t>JANNETH</t>
  </si>
  <si>
    <t>REVOLLO</t>
  </si>
  <si>
    <t>MERCADO</t>
  </si>
  <si>
    <t>CINDY</t>
  </si>
  <si>
    <t>SUGEY</t>
  </si>
  <si>
    <t>REY</t>
  </si>
  <si>
    <t>PARDO</t>
  </si>
  <si>
    <t>YUDI</t>
  </si>
  <si>
    <t>JASBLEIDI</t>
  </si>
  <si>
    <t>JHON</t>
  </si>
  <si>
    <t>EDISON</t>
  </si>
  <si>
    <t>BERNAL</t>
  </si>
  <si>
    <t>FLOR</t>
  </si>
  <si>
    <t>FORERO</t>
  </si>
  <si>
    <t>AURORA</t>
  </si>
  <si>
    <t>ROJAS</t>
  </si>
  <si>
    <t>OBANDO</t>
  </si>
  <si>
    <t>ALFREDO</t>
  </si>
  <si>
    <t>GREYDI</t>
  </si>
  <si>
    <t>NIVARDO</t>
  </si>
  <si>
    <t>ROMERO</t>
  </si>
  <si>
    <t>CARO</t>
  </si>
  <si>
    <t>JOHATAN</t>
  </si>
  <si>
    <t>SONIA</t>
  </si>
  <si>
    <t>EMILCE</t>
  </si>
  <si>
    <t>RUBIO</t>
  </si>
  <si>
    <t>WILLIAM</t>
  </si>
  <si>
    <t>ALEJANDRO</t>
  </si>
  <si>
    <t>RUNZA</t>
  </si>
  <si>
    <t>SEGURA</t>
  </si>
  <si>
    <t>RUSSI</t>
  </si>
  <si>
    <t>MORENO</t>
  </si>
  <si>
    <t>MARGARETH</t>
  </si>
  <si>
    <t>SACRISTAN</t>
  </si>
  <si>
    <t>ELVIRA</t>
  </si>
  <si>
    <t>SOTO</t>
  </si>
  <si>
    <t>SUAREZ</t>
  </si>
  <si>
    <t>CUCAITA</t>
  </si>
  <si>
    <t>BENJAMIN</t>
  </si>
  <si>
    <t>MADYURI</t>
  </si>
  <si>
    <t>TAPIERO</t>
  </si>
  <si>
    <t>YULY</t>
  </si>
  <si>
    <t>TIBAQUIRA</t>
  </si>
  <si>
    <t>ISABEL</t>
  </si>
  <si>
    <t>TOCA</t>
  </si>
  <si>
    <t>RINCON</t>
  </si>
  <si>
    <t>CAROLINA</t>
  </si>
  <si>
    <t>MANUEL</t>
  </si>
  <si>
    <t>HERNAN</t>
  </si>
  <si>
    <t>TRIVINO</t>
  </si>
  <si>
    <t>LURY</t>
  </si>
  <si>
    <t>HEYDE</t>
  </si>
  <si>
    <t>TURMEQUE</t>
  </si>
  <si>
    <t>HEIDY</t>
  </si>
  <si>
    <t>ULLOA</t>
  </si>
  <si>
    <t>ACOSTA</t>
  </si>
  <si>
    <t>CABRERA</t>
  </si>
  <si>
    <t>NATALY</t>
  </si>
  <si>
    <t>VARGAS</t>
  </si>
  <si>
    <t>NINO</t>
  </si>
  <si>
    <t>VELASCO</t>
  </si>
  <si>
    <t>LADY</t>
  </si>
  <si>
    <t>KARINA</t>
  </si>
  <si>
    <t>VELAZQUEZ</t>
  </si>
  <si>
    <t>YULIS</t>
  </si>
  <si>
    <t>YUNITH</t>
  </si>
  <si>
    <t>VILLARREAL</t>
  </si>
  <si>
    <t>ROYER</t>
  </si>
  <si>
    <t>DAIRON</t>
  </si>
  <si>
    <t>ABEL</t>
  </si>
  <si>
    <t>VILORIA</t>
  </si>
  <si>
    <t>YAQUELINE</t>
  </si>
  <si>
    <t>ZAPATA</t>
  </si>
  <si>
    <t>CAMACHO</t>
  </si>
  <si>
    <t>NUBIA</t>
  </si>
  <si>
    <t>AMPARO</t>
  </si>
  <si>
    <t>CONTRERAS</t>
  </si>
  <si>
    <t>ELENA</t>
  </si>
  <si>
    <t>20/03/2024</t>
  </si>
  <si>
    <t>MALDONADO</t>
  </si>
  <si>
    <t>JESSICA</t>
  </si>
  <si>
    <t>CHAMORRO</t>
  </si>
  <si>
    <t>OSPINO</t>
  </si>
  <si>
    <t>EMILI</t>
  </si>
  <si>
    <t>BETANCOURTH</t>
  </si>
  <si>
    <t>BOCANEGRA</t>
  </si>
  <si>
    <t>YESIKA</t>
  </si>
  <si>
    <t>CAMPOS</t>
  </si>
  <si>
    <t>CARDOSO</t>
  </si>
  <si>
    <t>JULIANA</t>
  </si>
  <si>
    <t>OCAMPO</t>
  </si>
  <si>
    <t>PALACIOS</t>
  </si>
  <si>
    <t>MAYERLY</t>
  </si>
  <si>
    <t>JOHANNA</t>
  </si>
  <si>
    <t>VALLECILLA</t>
  </si>
  <si>
    <t>ANYI</t>
  </si>
  <si>
    <t>BARRETO</t>
  </si>
  <si>
    <t>PEREZ</t>
  </si>
  <si>
    <t>GUIONEDYS</t>
  </si>
  <si>
    <t>CICHACA</t>
  </si>
  <si>
    <t>JOSEFINA</t>
  </si>
  <si>
    <t>LADINO</t>
  </si>
  <si>
    <t>ARDILA</t>
  </si>
  <si>
    <t>DAMARIS</t>
  </si>
  <si>
    <t>HIDALGO</t>
  </si>
  <si>
    <t>PANESSO</t>
  </si>
  <si>
    <t>YURANIS</t>
  </si>
  <si>
    <t>BAENA</t>
  </si>
  <si>
    <t>FONTALBO</t>
  </si>
  <si>
    <t>YORBIS</t>
  </si>
  <si>
    <t>MUNOZ</t>
  </si>
  <si>
    <t>JEIMMY</t>
  </si>
  <si>
    <t>BOTIA</t>
  </si>
  <si>
    <t>CONSUELO</t>
  </si>
  <si>
    <t>MARROQUIN</t>
  </si>
  <si>
    <t>GALEANO</t>
  </si>
  <si>
    <t>ELIZABETH</t>
  </si>
  <si>
    <t>23/03/2024</t>
  </si>
  <si>
    <t>PEREIRA</t>
  </si>
  <si>
    <t>ANYUL</t>
  </si>
  <si>
    <t>STEFANNY</t>
  </si>
  <si>
    <t>OQUENDO</t>
  </si>
  <si>
    <t>VALENTINA</t>
  </si>
  <si>
    <t>ARIAS</t>
  </si>
  <si>
    <t>JIMENEZ</t>
  </si>
  <si>
    <t>YEIMI</t>
  </si>
  <si>
    <t>ANDERSON</t>
  </si>
  <si>
    <t>LEMUS</t>
  </si>
  <si>
    <t>ROSORIS</t>
  </si>
  <si>
    <t>MARILIS</t>
  </si>
  <si>
    <t>YESENIA</t>
  </si>
  <si>
    <t>YERSON</t>
  </si>
  <si>
    <t>ESTIVEN</t>
  </si>
  <si>
    <t>ROSALBA</t>
  </si>
  <si>
    <t xml:space="preserve">SUPERNUMERARIA </t>
  </si>
  <si>
    <t>03/04/2024</t>
  </si>
  <si>
    <t>ORJUELA</t>
  </si>
  <si>
    <t>DELGADILLO</t>
  </si>
  <si>
    <t>YIZETH</t>
  </si>
  <si>
    <t>ZAMORA</t>
  </si>
  <si>
    <t>AMALIA</t>
  </si>
  <si>
    <t>IVONNE</t>
  </si>
  <si>
    <t>HIGUERA</t>
  </si>
  <si>
    <t>RUDY</t>
  </si>
  <si>
    <t>13/04/2024</t>
  </si>
  <si>
    <t>TRONCOSO</t>
  </si>
  <si>
    <t>BRAYAN</t>
  </si>
  <si>
    <t>RICARDO</t>
  </si>
  <si>
    <t>ELLES</t>
  </si>
  <si>
    <t>JESUS</t>
  </si>
  <si>
    <t>EDUARDO</t>
  </si>
  <si>
    <t>LAGOS</t>
  </si>
  <si>
    <t>MONTIEL</t>
  </si>
  <si>
    <t>JUAN</t>
  </si>
  <si>
    <t>16/04/2024</t>
  </si>
  <si>
    <t>TRIANA</t>
  </si>
  <si>
    <t>HERNANDO</t>
  </si>
  <si>
    <t>MIRELLA</t>
  </si>
  <si>
    <t>FECHA DE RETIRO</t>
  </si>
  <si>
    <t>Nuevo precio cláusula 8</t>
  </si>
  <si>
    <t>AIU 10%</t>
  </si>
  <si>
    <t>IVA 19%</t>
  </si>
  <si>
    <t>No.</t>
  </si>
  <si>
    <t>Bien</t>
  </si>
  <si>
    <t>VALOR UNITARIO CON IVA Y AIU</t>
  </si>
  <si>
    <t>RUBRO</t>
  </si>
  <si>
    <t>NOMBRE RUBRO</t>
  </si>
  <si>
    <t>O2120201003053532103</t>
  </si>
  <si>
    <t>Jabones líquidos para lavar</t>
  </si>
  <si>
    <t>Jabón para loza 1 (Compra)</t>
  </si>
  <si>
    <t>O2120201003053532101</t>
  </si>
  <si>
    <t>Jabones en pasta para lavar</t>
  </si>
  <si>
    <t>Jabón en barra (Compra)</t>
  </si>
  <si>
    <t>O2120201003053532104</t>
  </si>
  <si>
    <t>Jabones industriales</t>
  </si>
  <si>
    <t>Jabón abrasivo (Compra)</t>
  </si>
  <si>
    <t>O2120201003053532105</t>
  </si>
  <si>
    <t>Jabones de tocador</t>
  </si>
  <si>
    <t>Jabón de dispensador para manos 2 (Compra)</t>
  </si>
  <si>
    <t>O2120201003043466401</t>
  </si>
  <si>
    <t>Desinfectantes</t>
  </si>
  <si>
    <t>Limpiador multiusos 1 (Compra)</t>
  </si>
  <si>
    <t>O2120201003033335004</t>
  </si>
  <si>
    <t>Varsol-disolvente núm. 4</t>
  </si>
  <si>
    <t>Líquido desengrasante (Compra)</t>
  </si>
  <si>
    <t>O2120201003053532201</t>
  </si>
  <si>
    <t>Detergentes en polvo</t>
  </si>
  <si>
    <t>Detergente multiusos en polvo (Compra)</t>
  </si>
  <si>
    <t>Desinfectante de alto nivel de desinfección para uso hospitalario (Compra)</t>
  </si>
  <si>
    <t>Pastilla desinfectante para sanitario (Compra)</t>
  </si>
  <si>
    <t>O2120201003053532204</t>
  </si>
  <si>
    <t>Preparaciones para limpiar vidrios</t>
  </si>
  <si>
    <t>Líquido para limpiar vidrios 1 (Compra)</t>
  </si>
  <si>
    <t>O2120201003043424014</t>
  </si>
  <si>
    <t>Hipoclorito de sodio</t>
  </si>
  <si>
    <t>Blanqueador o hipoclorito 1 (Compra)</t>
  </si>
  <si>
    <t>O2120201003053533202</t>
  </si>
  <si>
    <t>Ceras para pisos</t>
  </si>
  <si>
    <t>Cera polimérica (Compra)</t>
  </si>
  <si>
    <t>O2120201003053549945</t>
  </si>
  <si>
    <t>Productos químicos especiales para tratamiento de pisos</t>
  </si>
  <si>
    <t>Sellante para pisos (Compra)</t>
  </si>
  <si>
    <t>Mantenedor de pisos (Compra)</t>
  </si>
  <si>
    <t>Removedor de cera (Compra)</t>
  </si>
  <si>
    <t>Jabón neutro para pisos 1 (Compra)</t>
  </si>
  <si>
    <t>Varsol ecológico 2 (Compra)</t>
  </si>
  <si>
    <t>O2120201003053533102</t>
  </si>
  <si>
    <t>Purificadores líquidos de ambiente</t>
  </si>
  <si>
    <t>Ambientador 1 (Compra)</t>
  </si>
  <si>
    <t>Ambientador 2 (Compra)</t>
  </si>
  <si>
    <t>O2120201003033335001</t>
  </si>
  <si>
    <t>Solventes para insecticida</t>
  </si>
  <si>
    <t>Insecticida 1 (Compra)</t>
  </si>
  <si>
    <t>Insecticida 2 (Compra)</t>
  </si>
  <si>
    <t>O2120201002072792104</t>
  </si>
  <si>
    <t>Fieltros de algodón</t>
  </si>
  <si>
    <t>Limpiones 1 (Compra)</t>
  </si>
  <si>
    <t>Limpiones 2 (Compra)</t>
  </si>
  <si>
    <t>Limpiones 3 (Compra)</t>
  </si>
  <si>
    <t>Limpiones 4 (Compra)</t>
  </si>
  <si>
    <t>Limpiones 5 (Compra)</t>
  </si>
  <si>
    <t>Bayetilla 1 (Compra)</t>
  </si>
  <si>
    <t>Bayetilla 2 (Compra)</t>
  </si>
  <si>
    <t>O2120201002072719009</t>
  </si>
  <si>
    <t> Paños absorbentes desechables para uso doméstico</t>
  </si>
  <si>
    <t>Paño absorbente multiusos 1 (Compra)</t>
  </si>
  <si>
    <t>Paño absorbente multiusos 2 (Compra)</t>
  </si>
  <si>
    <t>O2120201004024291231</t>
  </si>
  <si>
    <t>Esponjas y esponjillas metálicas</t>
  </si>
  <si>
    <t>Esponjilla 1 (Compra)</t>
  </si>
  <si>
    <t>Esponjilla 2 (Compra)</t>
  </si>
  <si>
    <t>Esponjilla 3 (Compra)</t>
  </si>
  <si>
    <t>Esponjilla 4 (Compra)</t>
  </si>
  <si>
    <t>Esponjilla 5 (Compra)</t>
  </si>
  <si>
    <t>O2120201003083899302</t>
  </si>
  <si>
    <t>Escobas</t>
  </si>
  <si>
    <t>Escoba 1 (Compra)</t>
  </si>
  <si>
    <t>Escoba 2 (Compra)</t>
  </si>
  <si>
    <t>Escoba 3 (Compra)</t>
  </si>
  <si>
    <t>Escoba 4 (Compra)</t>
  </si>
  <si>
    <t>O2120201004024299201</t>
  </si>
  <si>
    <t>Mangos metálicos</t>
  </si>
  <si>
    <t>Mango metálico escoba 1 (Compra)</t>
  </si>
  <si>
    <t>O2120201003083899303</t>
  </si>
  <si>
    <t>Cepillos para lavar o fregar</t>
  </si>
  <si>
    <t>Cepillos 2 (Compra)</t>
  </si>
  <si>
    <t>Cepillos 3 (Compra)</t>
  </si>
  <si>
    <t>O2120201002072732007</t>
  </si>
  <si>
    <t> Mechas para trapero</t>
  </si>
  <si>
    <t>Trapero 1 (Compra)</t>
  </si>
  <si>
    <t>Trapero 2 (Compra)</t>
  </si>
  <si>
    <t>Trapero 3 (Compra)</t>
  </si>
  <si>
    <t>Mango metálico trapero (Compra)</t>
  </si>
  <si>
    <t>Cepillo para sanitario (churrusco) (Compra)</t>
  </si>
  <si>
    <t>Pads 1 (Compra)</t>
  </si>
  <si>
    <t>Pads 2 (Compra)</t>
  </si>
  <si>
    <t>Pads 3 (Compra)</t>
  </si>
  <si>
    <t>Pads 4 (Compra)</t>
  </si>
  <si>
    <t>Boneth 2 (Compra)</t>
  </si>
  <si>
    <t>O2120201003063641001</t>
  </si>
  <si>
    <t>Bolsas de material plástico sin impresión</t>
  </si>
  <si>
    <t>Bolsas plásticas 1 (Compra)</t>
  </si>
  <si>
    <t>Bolsas plásticas 2 (Compra)</t>
  </si>
  <si>
    <t>Bolsas plásticas 8 (Compra)</t>
  </si>
  <si>
    <t>Bolsas plásticas 15 (Compra)</t>
  </si>
  <si>
    <t>Bolsas plásticas 17 (Compra)</t>
  </si>
  <si>
    <t>Bolsas plásticas 22 (Compra)</t>
  </si>
  <si>
    <t>Bolsas plásticas 24 (Compra)</t>
  </si>
  <si>
    <t>O2120201002082823803</t>
  </si>
  <si>
    <t>Guantes de fibras artificiales y sintéticas</t>
  </si>
  <si>
    <t>Guantes 7 (Compra)</t>
  </si>
  <si>
    <t>Guantes 9 (Compra)</t>
  </si>
  <si>
    <t>O2120201003023213101</t>
  </si>
  <si>
    <t>Papel del tipo utilizado para papel higiénico</t>
  </si>
  <si>
    <t>Papel higiénico 1 (Compra)</t>
  </si>
  <si>
    <t>Papel higiénico 3 (Compra)</t>
  </si>
  <si>
    <t>O2120201003023219304</t>
  </si>
  <si>
    <t>Toallas de papel</t>
  </si>
  <si>
    <t>Toallas para manos 6 (Compra)</t>
  </si>
  <si>
    <t>Toallas para manos 7 (Compra)</t>
  </si>
  <si>
    <t>O2120201003023219303</t>
  </si>
  <si>
    <t>Pañuelos de papel</t>
  </si>
  <si>
    <t>Pañuelos (Compra)</t>
  </si>
  <si>
    <t>O2120201003023219907</t>
  </si>
  <si>
    <t>Vasos de papel o cartón</t>
  </si>
  <si>
    <t>Vasos biodegradables 2 (Compra)</t>
  </si>
  <si>
    <t>Vasos biodegradables 3 (Compra)</t>
  </si>
  <si>
    <t>Vasos biodegradables 4 (Compra)</t>
  </si>
  <si>
    <t>O2120201003013191409</t>
  </si>
  <si>
    <t>Aplicadores, bajalenguas y otros para usos higiénicos, de madera</t>
  </si>
  <si>
    <t>Mezclador 1 (Compra)</t>
  </si>
  <si>
    <t>O2120201003023213102</t>
  </si>
  <si>
    <t>Papel para servilletas, toallas y similares</t>
  </si>
  <si>
    <t>Servilleta papel (Compra)</t>
  </si>
  <si>
    <t>O2120201002072719007</t>
  </si>
  <si>
    <t>Filtros de material textil, para usos técnicos e industriales</t>
  </si>
  <si>
    <t>Filtro para greca 1 (Compra)</t>
  </si>
  <si>
    <t>Filtro para greca 2 (Compra)</t>
  </si>
  <si>
    <t>O2120201003073719199</t>
  </si>
  <si>
    <t>Envases n.c.p. de vidrio</t>
  </si>
  <si>
    <t>Termo para café 1 (Compra)</t>
  </si>
  <si>
    <t>O2120201002032381302</t>
  </si>
  <si>
    <t> Café molido</t>
  </si>
  <si>
    <t>Café 1 (Compra)</t>
  </si>
  <si>
    <t>O2120201002032382103</t>
  </si>
  <si>
    <t> Café instantáneo aglomerado o atomizado</t>
  </si>
  <si>
    <t>Crema para café (Compra)</t>
  </si>
  <si>
    <t>O2120201002032352001</t>
  </si>
  <si>
    <t>Azúcar refinada</t>
  </si>
  <si>
    <t>Azúcar 1 (Compra)</t>
  </si>
  <si>
    <t>Azúcar 3 (Compra)</t>
  </si>
  <si>
    <t>O2120201002032399921</t>
  </si>
  <si>
    <t>Productos aromáticos diversos</t>
  </si>
  <si>
    <t>Aromática (Compra)</t>
  </si>
  <si>
    <t>O2120201002032391101</t>
  </si>
  <si>
    <t>Té elaborado</t>
  </si>
  <si>
    <t>Té (Compra)</t>
  </si>
  <si>
    <t>Infusión frutal (Compra)</t>
  </si>
  <si>
    <t>O2120201002042441001</t>
  </si>
  <si>
    <t>Agua purificada (envasada)</t>
  </si>
  <si>
    <t>Agua potable 4 (Compra)</t>
  </si>
  <si>
    <t>Brillador 1 (Compra)</t>
  </si>
  <si>
    <t>Brillador 2 (Compra)</t>
  </si>
  <si>
    <t>Repuestos brillador 1 (Compra)</t>
  </si>
  <si>
    <t>Repuestos brillador 2 (Compra)</t>
  </si>
  <si>
    <t>Destapador para sanitario (chupa) (Compra)</t>
  </si>
  <si>
    <t>O2120201003063694016</t>
  </si>
  <si>
    <t>Recogedores plásticos de basura</t>
  </si>
  <si>
    <t>Recogedor de basura 1 (Compra)</t>
  </si>
  <si>
    <t>O21202020070373122</t>
  </si>
  <si>
    <t>Servicios de arrendamiento o de alquiler de maquinaria y equipo de construcción sin operario</t>
  </si>
  <si>
    <t>Atomizadores (Compra)</t>
  </si>
  <si>
    <t>O2120201003073719305</t>
  </si>
  <si>
    <t>Vasos y jarros de vidrio</t>
  </si>
  <si>
    <t>Vasos  1 (Compra)</t>
  </si>
  <si>
    <t>O2120201003073722101</t>
  </si>
  <si>
    <t>Vajillas de loza-pedernal</t>
  </si>
  <si>
    <t>Terno para café (Compra)</t>
  </si>
  <si>
    <t>Haraganes 2  (Compra)</t>
  </si>
  <si>
    <t>Haraganes 4  (Compra)</t>
  </si>
  <si>
    <t>O2120201003063694012</t>
  </si>
  <si>
    <t>Recipientes de material plástico-canecas para la basura</t>
  </si>
  <si>
    <t>Balde (Compra)</t>
  </si>
  <si>
    <t>Bandeja 1 (Arrendamiento)</t>
  </si>
  <si>
    <t>Bandeja 2 (Arrendamiento)</t>
  </si>
  <si>
    <t>Olleta (Arrendamiento)</t>
  </si>
  <si>
    <t>Olla 2 (Arrendamiento)</t>
  </si>
  <si>
    <t>Soporte para Botellón de agua (Compra)</t>
  </si>
  <si>
    <t>O21202020070373230</t>
  </si>
  <si>
    <t>Servicios de arrendamiento sin opción de compra de muebles y otros aparatos domésticos</t>
  </si>
  <si>
    <t>Carro exprimidor de trapero 2 (Arrendamiento)</t>
  </si>
  <si>
    <t>Carro de bebidas (Arrendamiento)</t>
  </si>
  <si>
    <t>Escalera 2 (Arrendamiento)</t>
  </si>
  <si>
    <t>Escalera de tipo industrial (Arrendamiento)</t>
  </si>
  <si>
    <t>Mangueras 2 (Arrendamiento)</t>
  </si>
  <si>
    <t>Mangueras 3 (Arrendamiento)</t>
  </si>
  <si>
    <t>Punto Ecológico 4 (Compra)</t>
  </si>
  <si>
    <t>Punto Ecológico 5 (Compra)</t>
  </si>
  <si>
    <t>Punto Ecológico 6 (Compra)</t>
  </si>
  <si>
    <t>Señales peatonales de prevención y atención 3 (Compra)</t>
  </si>
  <si>
    <t>Dispensador para papel higiénico 2 (Compra)</t>
  </si>
  <si>
    <t>Dispensador de toallas de manos 3 (Compra)</t>
  </si>
  <si>
    <t>Dispensador de jabón líquido 3 (Compra)</t>
  </si>
  <si>
    <t>Dispensador goteo por gravedad y recarga (Compra)</t>
  </si>
  <si>
    <t>Greca para tintos 2 (Arrendamiento)</t>
  </si>
  <si>
    <t>Greca para tintos 3 (Arrendamiento)</t>
  </si>
  <si>
    <t>Horno microondas de tipo industrial (Arrendamiento)</t>
  </si>
  <si>
    <t>Estufa 1 (Arrendamiento)</t>
  </si>
  <si>
    <t>Aspiradora 2 (Arrendamiento)</t>
  </si>
  <si>
    <t>Lavabrilladora de pisos 1 (Arrendamiento)</t>
  </si>
  <si>
    <t>Lavabrilladora de pisos 2 (Arrendamiento)</t>
  </si>
  <si>
    <t>Brilladora de alta revolución (Arrendamiento)</t>
  </si>
  <si>
    <t>Lavadora de alfombras y tapetes 1 (Arrendamiento)</t>
  </si>
  <si>
    <t>Hidrolavadora Industrial (Arrendamiento)</t>
  </si>
  <si>
    <t>Sopladora de hojas (Arrendamiento)</t>
  </si>
  <si>
    <t>Sonda para inodoro (Arrendamiento)</t>
  </si>
  <si>
    <t>Guadañas (Arrendamiento)</t>
  </si>
  <si>
    <t>SEDE 1 - MANZANA LIEVANO - ALCALDÍA MAYOR</t>
  </si>
  <si>
    <t xml:space="preserve">SEDE 2- DIRECCIÓN DISTRITAL DE ARCHIVO DE  BOGOTA </t>
  </si>
  <si>
    <t>SEDE 3 - IMPRENTA DISTRITAL</t>
  </si>
  <si>
    <t xml:space="preserve">SEDE 4 - SEDE ALTERNA RESTREPO </t>
  </si>
  <si>
    <t xml:space="preserve">SEDE 5 - SUPERCADE CAD CARRERA </t>
  </si>
  <si>
    <t xml:space="preserve">SEDE 6 - SUPERCADE AMERICAS </t>
  </si>
  <si>
    <t xml:space="preserve">SEDE 7 - SUPERCADE BOSA </t>
  </si>
  <si>
    <t xml:space="preserve">SEDE 8 - SUPERCADE CALLE 13 </t>
  </si>
  <si>
    <t xml:space="preserve">SEDE 9 - SUPERCADE 20 DE JULIO </t>
  </si>
  <si>
    <t xml:space="preserve">SEDE 10 - SUPERCADE MANITAS </t>
  </si>
  <si>
    <t xml:space="preserve">SEDE 11 - SUPERCADE SUBA </t>
  </si>
  <si>
    <t>SEDE 12 - SUPERCADE SOCIAL</t>
  </si>
  <si>
    <t xml:space="preserve">SEDE 13 - CADE SERVITA </t>
  </si>
  <si>
    <t xml:space="preserve">SEDE 14 - CADE LA VICTORIA </t>
  </si>
  <si>
    <t xml:space="preserve">SEDE 15 - CADE LA GAITANA </t>
  </si>
  <si>
    <t xml:space="preserve">SEDE 16 - SUPERCADE ENGATIVA </t>
  </si>
  <si>
    <t xml:space="preserve">SEDE 17 - CADE LOS LUCEROS </t>
  </si>
  <si>
    <t xml:space="preserve">SEDE 18 - CENTRO DE MEMORIA, PAZ Y RECONCILIACIÓN </t>
  </si>
  <si>
    <t xml:space="preserve">SEDE 19 - CENTRO DE ENCUENTRO BOSA </t>
  </si>
  <si>
    <t xml:space="preserve">SEDE 20 - CENTRO DE ENCUENTRO CHAPINERO </t>
  </si>
  <si>
    <t xml:space="preserve">SEDE 21 - CENTRO DE ENCUENTRO CIUDAD BOLIVAR </t>
  </si>
  <si>
    <t xml:space="preserve">SEDE 22 - CENTRO DE ENCUENTRO KENNEDY PATIO BONITO </t>
  </si>
  <si>
    <t xml:space="preserve">SEDE 23 - CENTRO DE ENCUENTRO RAFAEL URIBE </t>
  </si>
  <si>
    <t xml:space="preserve">SEDE 24 - CENTRO DE ENCUENTRO SUBA </t>
  </si>
  <si>
    <t>SEDE 25 - SEDE ALTERNA TEQUENDAMA</t>
  </si>
  <si>
    <t>TOTAL MES</t>
  </si>
  <si>
    <t>VALOR TOTAL CON IVA Y AIU</t>
  </si>
  <si>
    <t>TOTAL CANTIDADES</t>
  </si>
  <si>
    <t>STIVEN</t>
  </si>
  <si>
    <t>Item</t>
  </si>
  <si>
    <t>Servicio</t>
  </si>
  <si>
    <t>CANTIDAD</t>
  </si>
  <si>
    <t>Operario de aseo y cafetería</t>
  </si>
  <si>
    <t>Operario de mantenimiento</t>
  </si>
  <si>
    <t>Operario auxiliar</t>
  </si>
  <si>
    <t>Jardinero</t>
  </si>
  <si>
    <t>Coordinador de tiempo completo</t>
  </si>
  <si>
    <t>TOTAL</t>
  </si>
  <si>
    <t>Precio Unitario con Descuento</t>
  </si>
  <si>
    <t>Máximo a pagar Mensual</t>
  </si>
  <si>
    <t>OBSERVACIONES</t>
  </si>
  <si>
    <t>TOTAL MES A PAGAR INCLUIDO IVA y AIU</t>
  </si>
  <si>
    <t>VALOR TOTAL SIN IVA Y AIU</t>
  </si>
  <si>
    <t>NOVOA</t>
  </si>
  <si>
    <t>CRISTINA</t>
  </si>
  <si>
    <t>Etiquetas de fila</t>
  </si>
  <si>
    <t>Total general</t>
  </si>
  <si>
    <t>Suma de SEDE 1 - MANZANA LIEVANO - ALCALDÍA MAYOR</t>
  </si>
  <si>
    <t xml:space="preserve">Suma de SEDE 2- DIRECCIÓN DISTRITAL DE ARCHIVO DE  BOGOTA </t>
  </si>
  <si>
    <t>Suma de SEDE 3 - IMPRENTA DISTRITAL</t>
  </si>
  <si>
    <t xml:space="preserve">Suma de SEDE 4 - SEDE ALTERNA RESTREPO </t>
  </si>
  <si>
    <t xml:space="preserve">Suma de SEDE 5 - SUPERCADE CAD CARRERA </t>
  </si>
  <si>
    <t xml:space="preserve">Suma de SEDE 6 - SUPERCADE AMERICAS </t>
  </si>
  <si>
    <t xml:space="preserve">Suma de SEDE 7 - SUPERCADE BOSA </t>
  </si>
  <si>
    <t xml:space="preserve">Suma de SEDE 8 - SUPERCADE CALLE 13 </t>
  </si>
  <si>
    <t xml:space="preserve">Suma de SEDE 9 - SUPERCADE 20 DE JULIO </t>
  </si>
  <si>
    <t xml:space="preserve">Suma de SEDE 10 - SUPERCADE MANITAS </t>
  </si>
  <si>
    <t xml:space="preserve">Suma de SEDE 11 - SUPERCADE SUBA </t>
  </si>
  <si>
    <t>Suma de SEDE 12 - SUPERCADE SOCIAL</t>
  </si>
  <si>
    <t xml:space="preserve">Suma de SEDE 13 - CADE SERVITA </t>
  </si>
  <si>
    <t xml:space="preserve">Suma de SEDE 14 - CADE LA VICTORIA </t>
  </si>
  <si>
    <t xml:space="preserve">Suma de SEDE 15 - CADE LA GAITANA </t>
  </si>
  <si>
    <t xml:space="preserve">Suma de SEDE 16 - SUPERCADE ENGATIVA </t>
  </si>
  <si>
    <t xml:space="preserve">Suma de SEDE 17 - CADE LOS LUCEROS </t>
  </si>
  <si>
    <t xml:space="preserve">Suma de SEDE 18 - CENTRO DE MEMORIA, PAZ Y RECONCILIACIÓN </t>
  </si>
  <si>
    <t xml:space="preserve">Suma de SEDE 19 - CENTRO DE ENCUENTRO BOSA </t>
  </si>
  <si>
    <t xml:space="preserve">Suma de SEDE 20 - CENTRO DE ENCUENTRO CHAPINERO </t>
  </si>
  <si>
    <t xml:space="preserve">Suma de SEDE 21 - CENTRO DE ENCUENTRO CIUDAD BOLIVAR </t>
  </si>
  <si>
    <t xml:space="preserve">Suma de SEDE 22 - CENTRO DE ENCUENTRO KENNEDY PATIO BONITO </t>
  </si>
  <si>
    <t xml:space="preserve">Suma de SEDE 23 - CENTRO DE ENCUENTRO RAFAEL URIBE </t>
  </si>
  <si>
    <t xml:space="preserve">Suma de SEDE 24 - CENTRO DE ENCUENTRO SUBA </t>
  </si>
  <si>
    <t>Suma de SEDE 25 - SEDE ALTERNA TEQUENDAMA</t>
  </si>
  <si>
    <t>O21202020080585330 Servicios de limpieza general</t>
  </si>
  <si>
    <t>Subtotal</t>
  </si>
  <si>
    <t>Servicio de Personal</t>
  </si>
  <si>
    <t>Insumos de aseo y Cafetería y maquinaria</t>
  </si>
  <si>
    <t>MARZO</t>
  </si>
  <si>
    <t>FACTURADO</t>
  </si>
  <si>
    <t>MÁXIMO</t>
  </si>
  <si>
    <t>FALTA PERSONAL</t>
  </si>
  <si>
    <t>IVA19%</t>
  </si>
  <si>
    <t>VALIDACIÓN</t>
  </si>
  <si>
    <t>DIFERENCIA</t>
  </si>
  <si>
    <t>MATALLANA</t>
  </si>
  <si>
    <t>MONROY</t>
  </si>
  <si>
    <t>ASCENCION</t>
  </si>
  <si>
    <t>GREGORIO</t>
  </si>
  <si>
    <t>SUSAN</t>
  </si>
  <si>
    <t>VANEGAS</t>
  </si>
  <si>
    <t>BOLIVAR</t>
  </si>
  <si>
    <t>MOSQUERA</t>
  </si>
  <si>
    <t>GIOVANNI</t>
  </si>
  <si>
    <t>SANABRIA</t>
  </si>
  <si>
    <t>CANCELADO</t>
  </si>
  <si>
    <t>GONZALO</t>
  </si>
  <si>
    <t>ALBERTO</t>
  </si>
  <si>
    <t>CAPERA</t>
  </si>
  <si>
    <t>FAJARDO</t>
  </si>
  <si>
    <t>RIOS</t>
  </si>
  <si>
    <t>VENECIA</t>
  </si>
  <si>
    <t>MAYRE</t>
  </si>
  <si>
    <t>NIDIA</t>
  </si>
  <si>
    <t xml:space="preserve">MARTIN </t>
  </si>
  <si>
    <t>CALDERON</t>
  </si>
  <si>
    <t>GARAVITO</t>
  </si>
  <si>
    <t>RICHARD</t>
  </si>
  <si>
    <t>ABRIL</t>
  </si>
  <si>
    <t>MAYO</t>
  </si>
  <si>
    <t>PERSONAL</t>
  </si>
  <si>
    <t>VALOR SIN IVA - AIU</t>
  </si>
  <si>
    <t>Bolsas plásticas 21 (Compra)</t>
  </si>
  <si>
    <t>Bolsas plásticas 23 (Compra)</t>
  </si>
  <si>
    <t>PEÑA</t>
  </si>
  <si>
    <t>SEDE 01 - MANZANA LIEVANO - ALCALDÍA MAYOR</t>
  </si>
  <si>
    <t xml:space="preserve">SEDE 02- DIRECCIÓN DISTRITAL DE ARCHIVO DE  BOGOTA </t>
  </si>
  <si>
    <t>SEDE 03 - IMPRENTA DISTRITAL</t>
  </si>
  <si>
    <t xml:space="preserve">SEDE 04 - SEDE ALTERNA RESTREPO </t>
  </si>
  <si>
    <t xml:space="preserve">SEDE 05 - SUPERCADE CAD CARRERA </t>
  </si>
  <si>
    <t xml:space="preserve">SEDE 06 - SUPERCADE AMERICAS </t>
  </si>
  <si>
    <t xml:space="preserve">SEDE 07 - SUPERCADE BOSA </t>
  </si>
  <si>
    <t xml:space="preserve">SEDE 08 - SUPERCADE CALLE 13 </t>
  </si>
  <si>
    <t xml:space="preserve">SEDE 09 - SUPERCADE 20 DE JULIO </t>
  </si>
  <si>
    <t>seguridad social</t>
  </si>
  <si>
    <t>pago nomina</t>
  </si>
  <si>
    <t>dia de pago de nomina</t>
  </si>
  <si>
    <t>el 30/05/2024 por bancolombia</t>
  </si>
  <si>
    <t>banco caja social pero no dice la fecha</t>
  </si>
  <si>
    <t>UMAÑA</t>
  </si>
  <si>
    <t>YHON</t>
  </si>
  <si>
    <t>FREDY</t>
  </si>
  <si>
    <t>en Bancolombia el 23/05/2024</t>
  </si>
  <si>
    <t>En Davivienda el 23/05/2024</t>
  </si>
  <si>
    <t>MELO</t>
  </si>
  <si>
    <t>CERON</t>
  </si>
  <si>
    <t>CANTE</t>
  </si>
  <si>
    <t xml:space="preserve">MARIA </t>
  </si>
  <si>
    <t>EUGENIA</t>
  </si>
  <si>
    <t>SABOGAL</t>
  </si>
  <si>
    <t>CONSULO</t>
  </si>
  <si>
    <t>CHILA</t>
  </si>
  <si>
    <t>ERMIDES</t>
  </si>
  <si>
    <t>ingreso</t>
  </si>
  <si>
    <t>MUÑOZ</t>
  </si>
  <si>
    <t>FERNEY</t>
  </si>
  <si>
    <t>NIKOL</t>
  </si>
  <si>
    <t>CAMILO</t>
  </si>
  <si>
    <t>STEBAN</t>
  </si>
  <si>
    <t>BUENDIA</t>
  </si>
  <si>
    <t>ROBERTO</t>
  </si>
  <si>
    <t>YARA</t>
  </si>
  <si>
    <t>banco avvillas el 28/06/2024</t>
  </si>
  <si>
    <t>davivienda el 28/06/2024</t>
  </si>
  <si>
    <t>El 28/06/2024 por Bancolombia</t>
  </si>
  <si>
    <t>CUMPLIDO</t>
  </si>
  <si>
    <t>ingreso. Dice que es una operaria auxiliar que ingreso el 01/06/2024; pero el IBC es de $1.300.000; cuando los operarios auxiliares se les cotiza sobre $1.356.000</t>
  </si>
  <si>
    <t>Termo para café 2 (Compra)</t>
  </si>
  <si>
    <t>aiu 10%</t>
  </si>
  <si>
    <t>iva 19%</t>
  </si>
  <si>
    <t>total</t>
  </si>
  <si>
    <t>diferencia</t>
  </si>
  <si>
    <t>VASQUEZ</t>
  </si>
  <si>
    <t>MOLINA</t>
  </si>
  <si>
    <t>PINEDA</t>
  </si>
  <si>
    <t>JEFERSON</t>
  </si>
  <si>
    <t>ANDRES</t>
  </si>
  <si>
    <t>SUSPE</t>
  </si>
  <si>
    <t>CELY</t>
  </si>
  <si>
    <t>TORO</t>
  </si>
  <si>
    <t>AYDEE</t>
  </si>
  <si>
    <t>incapacidad 3 y 4 / 23 y 24 de julio, no se cubrio</t>
  </si>
  <si>
    <t>calamidad 16 al 19 de julio. No se cubre</t>
  </si>
  <si>
    <t>Calamidad 22, 23 y 24 de julio. No se cubrió</t>
  </si>
  <si>
    <t xml:space="preserve">trabajo del 01 al 16 de julio en la SEDE 20 - CENTRO DE ENCUENTRO CHAPINERO; y a partir del 17 de julio paso a la SEDE 16 - SUPERCADE ENGATIVA </t>
  </si>
  <si>
    <t>tuvo INCAPACIDAD DEL 10 AL 31 DE JULIO, LA CUBRE LA SUPERNUMERARIA NIDIA MENDEZ CC. 52011281</t>
  </si>
  <si>
    <t>Incapaciad del 2 y 3 de julio. No se cubrio</t>
  </si>
  <si>
    <t>Del 01 al 22 de julio estuvo en la SEDE 05 - SUPERCADE CAD CARRERA, Incapacidad 23 y 24 de julio y no se cubrio; y a partir del 25 de julio paso a la SEDE 01 - MANZANA LIEVANO - ALCALDÍA MAYOR</t>
  </si>
  <si>
    <t>Tuvo incapacidad del 5 al 10 de julio. No se cubrió</t>
  </si>
  <si>
    <t>incapacidad del 23 al 29 de julio. No se cubrio</t>
  </si>
  <si>
    <t>CLAUDIA</t>
  </si>
  <si>
    <t>INES</t>
  </si>
  <si>
    <t>Incapacidad 8 y 9 de julio. Cubrio con 4 horas adicionales de Consuelo botia y Sonia Romero</t>
  </si>
  <si>
    <t>incapacidad del 18 y 19 de julio. No se cubrio</t>
  </si>
  <si>
    <t>Incapacidad del 23 y 24 de junio. No se cubrió</t>
  </si>
  <si>
    <t xml:space="preserve">Del 01 al 22 de julio estuvo en la SEDE 01 - MANZANA LIEVANO - ALCALDÍA MAYOR; y a partir del 23 de Julio se traslado a la SEDE 05 - SUPERCADE CAD CARRERA </t>
  </si>
  <si>
    <t xml:space="preserve">A partir del 01/07/2024 se traslado de la SEDE 01 - MANZANA LIEVANO - ALCALDÍA MAYOR a la SEDE 05 - SUPERCADE CAD CARRERA </t>
  </si>
  <si>
    <t>A partir del 01/07/2024 se traslado de la SEDE 05 - SUPERCADE CAD CARRERA a la  SEDE 01 - MANZANA LIEVANO - ALCALDÍA MAYOR</t>
  </si>
  <si>
    <t>Este señor se retiro a principios del mes de junio de 2024; y por error de la empresa no lo retiraron de la nomina y le pagaran todo el sueldo. La SGAMB no puede asumir este costo. La empresa asume el error. Falta soporte de liquidacion y que indiquen la fecha exacta de retiro</t>
  </si>
  <si>
    <t>DICEN QUE PASO DE LA SEDE 05 - SUPERCADE CAD CARRERA A LA SEDE 08 - SUPERCADE CALLE 13 PERO NO DICEN DESDE QUE FECHA</t>
  </si>
  <si>
    <t>Davivienda el 30/07/2024</t>
  </si>
  <si>
    <t>En Davivienda el 19/06/2024</t>
  </si>
  <si>
    <t>banco de bogota el 230/07/2024</t>
  </si>
  <si>
    <t>banco scotiabank el 30/07/2024</t>
  </si>
  <si>
    <t>banco avvillas el 18/07/2024</t>
  </si>
  <si>
    <t>ok liquidacion</t>
  </si>
  <si>
    <t>Davivienda el 26/07/2024</t>
  </si>
  <si>
    <t xml:space="preserve">Renuncio el 13 de julio. Ausencia injustificada el 6 y 9 de julio no se cubrio; pero le cotizaron 13 dias de seguridad social. OK pago de liquidacion </t>
  </si>
  <si>
    <t>Bancolombia el 18/07/2024</t>
  </si>
  <si>
    <t>NO SE CUBRIO DESDE EL 7 AL 16 DE JULIO, A PARTIR DEL 17 DE JULIO CUBRE JONATHA ROMERO CC 1023961022 SE TRASLADO DE LA SEDE CENTRO DE ENCUENTRO CHAPINERO. Ok pago de liquidacion</t>
  </si>
  <si>
    <t>Banco de Bogota el 30/07/2024</t>
  </si>
  <si>
    <t>Bancolombia el 30/07/2024</t>
  </si>
  <si>
    <t xml:space="preserve">Según la empresa tuvo AUSENCIA el 22 DE JULIO y No se cubrio y le descuentan el 21 tambien que fue domingo por no ir </t>
  </si>
  <si>
    <t xml:space="preserve">Ausentismo 22 de julio. No se cubrió; y le descuentan el 21 tambien que fue domingo por no ir </t>
  </si>
  <si>
    <t>Ingreso en reemplazo de RICHARD LEON GARAVITO CON C.C. 9812858</t>
  </si>
  <si>
    <t>JULIO DE 2024</t>
  </si>
  <si>
    <t>Banco BBVA el 30/07/2024</t>
  </si>
  <si>
    <t>Banco avvillas el 30/07/2024</t>
  </si>
  <si>
    <t>Incapacidad de dos días 23 y 24 de julio del 2024. No se cubrio.</t>
  </si>
  <si>
    <t>Incapacidad 23 y 24 de julio, No se cubrio.</t>
  </si>
  <si>
    <t>Incapacidad el 3, 4 Y 5 DE JULIO; y no se cubrieron</t>
  </si>
  <si>
    <t>26 de julio tuvo licencia no remunerada y no se cubrio</t>
  </si>
  <si>
    <t>Según la empresa tuvo ausencia el 8 de julio y No se cubrio; pero solo le cotizaron 28 dias; según la empresa, Cuando un colaborador falta un dia automaticamente se descuenta el dominical</t>
  </si>
  <si>
    <t xml:space="preserve">Ausentismo 22 de julio. No se cubrió; y según la empresa, Cuando un colaborador falta un dia automaticamente se descuenta el dominical. Por tal razon solo se cotizaron 28 dias </t>
  </si>
  <si>
    <t>Ingreso a manzana lievano en reemplazo de Juliana Campos con C.C. 1031148383 quien renuncio el 23/06/2024</t>
  </si>
  <si>
    <t>Incapacidad 22 al 26 de Julio. No se cubrio.</t>
  </si>
  <si>
    <t xml:space="preserve">Cubrio la incapacidad de YERIBETH IGLESIAS con C.C. 1002230033 del 15 al 31 de julio </t>
  </si>
  <si>
    <t xml:space="preserve">incapacidad del 3 al 31 de julio. según la empresa, se cubrio del 09 al 13 de julio con GOMEZ LEMUS ROSIRIS (pero NO SE PAGA AQUÍ; TODA VEZ QUE YA SE LE PAGA EN LA SEDE DE ARCHIVO) y del 15 al 31 de julio con MARCELA RODRIGUEZ </t>
  </si>
  <si>
    <t>Del 09 al 13 de julio cubrio la incapacidad de YERIBETH IGLESIAS con C.C. 1002230033 en la Sede Tequendama (La Subdirectora autorizò)</t>
  </si>
  <si>
    <t xml:space="preserve">INGRESA POR LA RENUNCIA DE LA COLABORADORA ANGIE CASTELLANOS </t>
  </si>
  <si>
    <t>SOLO le cotizacon 2 DIAS; LA REEMPLAZA LA COLABORADORA SUSPE CELY MARIA CONSUELO con CC 1023963443 quien ingreso EL DIA 11/07/2024. Ok pago de liquidacion</t>
  </si>
  <si>
    <t>Ausencia el 5 y 6 de julio. No se cubrio</t>
  </si>
  <si>
    <t>OK Bancolombia el 30/07/2024 y liquidacion el 08/08/2024</t>
  </si>
  <si>
    <t xml:space="preserve">Ausencia injustificada el 22 y 23 de julio y le descontaron 1 dominical por no asistir; ademas, tuvo incapacidad el 24 de julio (estos 4 dias no se cubrieron) y que se retiro el 27/07/2024, en su reemplazo ingresa el colaborador DELGADO ACANDO DALIERZON MIGUEL cc 5422081 Ingresa el 8 de agosto. </t>
  </si>
  <si>
    <t>según la empresa, se RETIRO EL 23 DE JULIO pero el 17 tuvo incapacidad y no se cubrio. Le cotizaron 25 dias de seguridad social. OK pago de liquidacion</t>
  </si>
  <si>
    <t xml:space="preserve">Ingreso el 17/07/2024 en reemplazo de Johatan Romero quien paso a partir del 17 de julio paso a la SEDE 16 - SUPERCADE ENGATIVA </t>
  </si>
  <si>
    <t>Licencia no remunerada el 13 de julio. No se cubrio</t>
  </si>
  <si>
    <t>Según la empresa cubrio la incapacidad de MADYURI SUAREZ PULIDO con C.C. 1026265130 DEL 10 AL 31 DE JULIO</t>
  </si>
  <si>
    <t xml:space="preserve">LE PAGARON 28 DIAS OK Y 2 DIAS EN IGE EN LA SEGURIDAD SOCIAL; según la empresa, Se encuentra en el contrato pero no cubrio a nadie durante el mes </t>
  </si>
  <si>
    <t>reemplazo a ZAPATA CAMACHO NUBIA AMPARO CON C.C. 39802794 del 4 AL 31 de julio</t>
  </si>
  <si>
    <t>Se encuentra en incapacidad desde que inicio el contrato por enfermedad general.. Se encontraba en el Archivo Distrital. Ojo QUE NO ME CUADRA EL VALOR DE LA COTIZACION de la seguridad social; SEGÚN LA EMPRESA, resenta incapacidades que abarcan todo el mes de julio 2024, se le realizó cotización con base a lo pagado en nomina por las incapacidades. Tener en cuenta que los dos primeros días de incapacidad se pagan al 100% del salario y los demás días de la incapacidad y las prorrogas son pagados al 66,67% del salario, respetando siempre el SMMLV. </t>
  </si>
  <si>
    <t>LE PAGARON 30 DIAS DE SEGURIDAD SOCIAL; PERO LA EMPRESA NO LO RELACIONO. según LA EMPRESA, Este colaborador pertenece a otro contrato , en el sitema de Serviaseamos hay varios contratos que estan como Bogota distrito capital y esto genera confusion para el area de contratacion a la hora de transferir la persona,ya se solicito correcion en sistema.</t>
  </si>
  <si>
    <t>LE PAGARON 28 DIAS OK Y 2 DIAS EN IGE EN LA SEGURIDAD SOCIAL; SEGÚN LA EMPRESA, Es supernumeraria se encuentra en contrato pero no cubrio en ninguna sede</t>
  </si>
  <si>
    <t xml:space="preserve">LE PAGARON 28 DIAS OK Y 2 DIAS EN IGE EN LA SEGURIDAD SOCIAL; según la empresa, ES SUPERNUMERARIA Y Se encuentra en el contrato pero no cubrio a nadie durante el mes </t>
  </si>
  <si>
    <t>OK soporte de liquidacion</t>
  </si>
  <si>
    <t>No se adjunta soportes de liquidación ya que a la fecha se encuentra en proceso por parte del area juridica de UT SERVIASEAMOS</t>
  </si>
  <si>
    <t>falta soporte de liquidacion. según LA EMPRESA, No se adjunta soportes de liquidación ya que a la fecha se encuentra en proceso por parte del area juridica de UT SERVIASEAMOS</t>
  </si>
  <si>
    <t>Según la empresa ingreso EL 25/07/2024 en reemplazo de TIVISAY KATERINE ORTIZ ORTEGA</t>
  </si>
  <si>
    <t>OK</t>
  </si>
  <si>
    <t>SOLO LE COTIZARON 3 DIAS; según la empresa, presenta incapacidad del 4 de julio al 2 de agosto de 2024; reemplaza la supernumeraria Claudia Cabrera con C.C. 53044715</t>
  </si>
  <si>
    <t>SI en maquinaria y no se respondio</t>
  </si>
  <si>
    <t>SI dice que no cumplio en maquinaria. Hay observacion en maquinaria y no se respondio</t>
  </si>
  <si>
    <t>SI dice que no cumplio en maquinaria y no se respondio</t>
  </si>
  <si>
    <t>SI dice que no cumplio ni en insumos ni en maquinaria y no se respondio</t>
  </si>
  <si>
    <t>SI dice que no cumplio en maquinaria; y no hay respuesta de la empresa indicando el porque</t>
  </si>
  <si>
    <t>SI en insumos y no se respondio</t>
  </si>
  <si>
    <t>SI tanto en insumos como en maquinaria y no se respondio</t>
  </si>
  <si>
    <t>SI dice que no cumplio en insumos; y no hay respuesta de la empresa indicando el porque</t>
  </si>
  <si>
    <t>O2120201003053532103 Jabones líquidos para lavar</t>
  </si>
  <si>
    <t>O2120201003053532101 Jabones en pasta para lavar</t>
  </si>
  <si>
    <t>O2120201003053532104 Jabones industriales</t>
  </si>
  <si>
    <t>O2120201003053532105 Jabones de tocador</t>
  </si>
  <si>
    <t>O2120201003043466401 Desinfectantes</t>
  </si>
  <si>
    <t>O2120201003033335004 Varsol-disolvente núm. 4</t>
  </si>
  <si>
    <t>O2120201003053532201 Detergentes en polvo</t>
  </si>
  <si>
    <t>O2120201003053532204 Preparaciones para limpiar vidrios</t>
  </si>
  <si>
    <t>O2120201003043424014 Hipoclorito de sodio</t>
  </si>
  <si>
    <t>O2120201003053533202 Ceras para pisos</t>
  </si>
  <si>
    <t>O2120201003053549945 Productos químicos especiales para tratamiento de pisos</t>
  </si>
  <si>
    <t>O2120201003053533102 Purificadores líquidos de ambiente</t>
  </si>
  <si>
    <t>O2120201003033335001 Solventes para insecticida</t>
  </si>
  <si>
    <t>O2120201002072792104 Fieltros de algodón</t>
  </si>
  <si>
    <t>O2120201004024291231 Esponjas y esponjillas metálicas</t>
  </si>
  <si>
    <t>O2120201003083899302 Escobas</t>
  </si>
  <si>
    <t>O2120201004024299201 Mangos metálicos</t>
  </si>
  <si>
    <t>O2120201003083899303 Cepillos para lavar o fregar</t>
  </si>
  <si>
    <t>O2120201003063641001 Bolsas de material plástico sin impresión</t>
  </si>
  <si>
    <t>O2120201002082823803 Guantes de fibras artificiales y sintéticas</t>
  </si>
  <si>
    <t>O2120201003023213101 Papel del tipo utilizado para papel higiénico</t>
  </si>
  <si>
    <t>O2120201003023219304 Toallas de papel</t>
  </si>
  <si>
    <t>O2120201003023219303 Pañuelos de papel</t>
  </si>
  <si>
    <t>O2120201003023219907 Vasos de papel o cartón</t>
  </si>
  <si>
    <t>O2120201003013191409 Aplicadores, bajalenguas y otros para usos higiénicos, de madera</t>
  </si>
  <si>
    <t>O2120201003023213102 Papel para servilletas, toallas y similares</t>
  </si>
  <si>
    <t>O2120201002072719007 Filtros de material textil, para usos técnicos e industriales</t>
  </si>
  <si>
    <t>O2120201003073719199 Envases n.c.p. de vidrio</t>
  </si>
  <si>
    <t>O2120201002032352001 Azúcar refinada</t>
  </si>
  <si>
    <t>O2120201002032399921 Productos aromáticos diversos</t>
  </si>
  <si>
    <t>O2120201002032391101 Té elaborado</t>
  </si>
  <si>
    <t>O2120201002042441001 Agua purificada (envasada)</t>
  </si>
  <si>
    <t>O2120201003063694016 Recogedores plásticos de basura</t>
  </si>
  <si>
    <t>O21202020070373122 Servicios de arrendamiento o de alquiler de maquinaria y equipo de construcción sin operario</t>
  </si>
  <si>
    <t>O2120201003073719305 Vasos y jarros de vidrio</t>
  </si>
  <si>
    <t>O2120201003073722101 Vajillas de loza-pedernal</t>
  </si>
  <si>
    <t>O2120201003063694012 Recipientes de material plástico-canecas para la basura</t>
  </si>
  <si>
    <t>O21202020070373230 Servicios de arrendamiento sin opción de compra de muebles y otros aparatos domésticos</t>
  </si>
  <si>
    <t>O2120201002072719009 Paños absorbentes desechables para uso doméstico</t>
  </si>
  <si>
    <t>O2120201002072732007 Mechas para trapero</t>
  </si>
  <si>
    <t>O2120201002032381302 Café molido</t>
  </si>
  <si>
    <t>O2120201002032382103 Café instantáneo aglomerado o atomizado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</si>
</sst>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0_-;\-* #,##0_-;_-* &quot;-&quot;_-;_-@_-"/>
    <numFmt numFmtId="44" formatCode="_-&quot;$&quot;\ * #,##0.00_-;\-&quot;$&quot;\ * #,##0.00_-;_-&quot;$&quot;\ * &quot;-&quot;??_-;_-@_-"/>
    <numFmt numFmtId="43" formatCode="_-* #,##0.00_-;\-* #,##0.00_-;_-* &quot;-&quot;??_-;_-@_-"/>
  </numFmts>
  <fonts count="35">
    <font>
      <sz val="11"/>
      <color theme="1"/>
      <name val="Aptos Narrow"/>
      <family val="2"/>
      <scheme val="minor"/>
    </font>
    <font>
      <sz val="11"/>
      <color theme="1"/>
      <name val="Aptos Narrow"/>
      <family val="2"/>
      <scheme val="minor"/>
    </font>
    <font>
      <sz val="10"/>
      <name val="Verdana   "/>
      <charset val="134"/>
    </font>
    <font>
      <b/>
      <sz val="8"/>
      <color theme="0"/>
      <name val="Arial"/>
      <family val="2"/>
    </font>
    <font>
      <sz val="10"/>
      <name val="Arial"/>
      <family val="2"/>
    </font>
    <font>
      <b/>
      <sz val="8"/>
      <name val="Arial"/>
      <family val="2"/>
    </font>
    <font>
      <b/>
      <sz val="8"/>
      <color rgb="FF7030A0"/>
      <name val="Arial"/>
      <family val="2"/>
    </font>
    <font>
      <b/>
      <sz val="9"/>
      <color rgb="FF7030A0"/>
      <name val="Arial"/>
      <family val="2"/>
    </font>
    <font>
      <sz val="10"/>
      <color rgb="FF000000"/>
      <name val="Times New Roman"/>
      <family val="1"/>
    </font>
    <font>
      <sz val="9"/>
      <name val="Arial"/>
      <family val="2"/>
    </font>
    <font>
      <sz val="9"/>
      <color theme="1"/>
      <name val="Arial"/>
      <family val="2"/>
    </font>
    <font>
      <sz val="8"/>
      <color theme="1"/>
      <name val="Arial"/>
      <family val="2"/>
    </font>
    <font>
      <b/>
      <sz val="8"/>
      <color rgb="FFFF0000"/>
      <name val="Arial"/>
      <family val="2"/>
    </font>
    <font>
      <sz val="8"/>
      <color rgb="FFFF0000"/>
      <name val="Arial"/>
      <family val="2"/>
    </font>
    <font>
      <b/>
      <sz val="8"/>
      <color theme="1"/>
      <name val="Arial"/>
      <family val="2"/>
    </font>
    <font>
      <sz val="8"/>
      <color rgb="FF000000"/>
      <name val="Arial"/>
      <family val="2"/>
    </font>
    <font>
      <sz val="8"/>
      <name val="Arial"/>
      <family val="2"/>
    </font>
    <font>
      <b/>
      <sz val="9"/>
      <color theme="0"/>
      <name val="Arial"/>
      <family val="2"/>
    </font>
    <font>
      <b/>
      <sz val="9"/>
      <color theme="0"/>
      <name val="Geomanist Light"/>
    </font>
    <font>
      <b/>
      <sz val="9"/>
      <name val="Geomanist Light"/>
    </font>
    <font>
      <sz val="9"/>
      <color rgb="FF7030A0"/>
      <name val="Geomanist Light"/>
    </font>
    <font>
      <sz val="12"/>
      <color theme="1"/>
      <name val="Arial"/>
      <family val="2"/>
    </font>
    <font>
      <b/>
      <sz val="16"/>
      <color indexed="8"/>
      <name val="Aptos Narrow"/>
      <family val="2"/>
      <scheme val="minor"/>
    </font>
    <font>
      <sz val="16"/>
      <color theme="1"/>
      <name val="Aptos Narrow"/>
      <family val="2"/>
      <scheme val="minor"/>
    </font>
    <font>
      <sz val="9"/>
      <color indexed="81"/>
      <name val="Tahoma"/>
      <family val="2"/>
    </font>
    <font>
      <b/>
      <sz val="9"/>
      <color indexed="81"/>
      <name val="Tahoma"/>
      <family val="2"/>
    </font>
    <font>
      <sz val="10"/>
      <color theme="1"/>
      <name val="Arial"/>
      <family val="2"/>
    </font>
    <font>
      <sz val="10"/>
      <color rgb="FFFF0000"/>
      <name val="Arial"/>
      <family val="2"/>
    </font>
    <font>
      <b/>
      <sz val="10"/>
      <name val="Arial"/>
      <family val="2"/>
    </font>
    <font>
      <b/>
      <sz val="11"/>
      <color theme="1"/>
      <name val="Aptos Narrow"/>
      <scheme val="minor"/>
    </font>
    <font>
      <sz val="9"/>
      <color rgb="FFC00000"/>
      <name val="Arial"/>
      <family val="2"/>
    </font>
    <font>
      <sz val="8"/>
      <color rgb="FFC00000"/>
      <name val="Arial"/>
      <family val="2"/>
    </font>
    <font>
      <b/>
      <sz val="11"/>
      <color theme="1"/>
      <name val="Aptos Narrow"/>
      <family val="2"/>
      <scheme val="minor"/>
    </font>
    <font>
      <sz val="11"/>
      <name val="Aptos Narrow"/>
      <scheme val="minor"/>
    </font>
    <font>
      <sz val="10"/>
      <color rgb="FF00B0F0"/>
      <name val="Arial"/>
      <family val="2"/>
    </font>
  </fonts>
  <fills count="19">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rgb="FF92D050"/>
        <bgColor indexed="64"/>
      </patternFill>
    </fill>
    <fill>
      <patternFill patternType="solid">
        <fgColor rgb="FF00B0F0"/>
        <bgColor indexed="64"/>
      </patternFill>
    </fill>
    <fill>
      <patternFill patternType="solid">
        <fgColor rgb="FFFFFF00"/>
        <bgColor indexed="64"/>
      </patternFill>
    </fill>
    <fill>
      <patternFill patternType="solid">
        <fgColor theme="1" tint="0.249977111117893"/>
        <bgColor indexed="64"/>
      </patternFill>
    </fill>
    <fill>
      <patternFill patternType="solid">
        <fgColor theme="5" tint="-0.249977111117893"/>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rgb="FF00B05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0000"/>
        <bgColor indexed="64"/>
      </patternFill>
    </fill>
    <fill>
      <patternFill patternType="solid">
        <fgColor theme="2"/>
        <bgColor indexed="64"/>
      </patternFill>
    </fill>
    <fill>
      <patternFill patternType="solid">
        <fgColor rgb="FFFF99FF"/>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9"/>
      </left>
      <right style="thin">
        <color indexed="9"/>
      </right>
      <top style="thin">
        <color indexed="9"/>
      </top>
      <bottom/>
      <diagonal/>
    </border>
    <border>
      <left style="thin">
        <color indexed="64"/>
      </left>
      <right style="thin">
        <color indexed="64"/>
      </right>
      <top style="thin">
        <color indexed="64"/>
      </top>
      <bottom/>
      <diagonal/>
    </border>
    <border>
      <left style="thin">
        <color theme="0" tint="-0.24994659260841701"/>
      </left>
      <right style="thin">
        <color theme="0" tint="-0.24994659260841701"/>
      </right>
      <top style="thin">
        <color theme="0" tint="-0.24994659260841701"/>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theme="0" tint="-0.24994659260841701"/>
      </right>
      <top style="medium">
        <color indexed="64"/>
      </top>
      <bottom/>
      <diagonal/>
    </border>
    <border>
      <left style="thin">
        <color theme="0" tint="-0.24994659260841701"/>
      </left>
      <right style="thin">
        <color theme="0" tint="-0.24994659260841701"/>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theme="0" tint="-0.24994659260841701"/>
      </right>
      <top style="medium">
        <color indexed="64"/>
      </top>
      <bottom style="medium">
        <color indexed="64"/>
      </bottom>
      <diagonal/>
    </border>
    <border>
      <left style="thin">
        <color theme="0" tint="-0.24994659260841701"/>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9">
    <xf numFmtId="0" fontId="0" fillId="0" borderId="0"/>
    <xf numFmtId="0" fontId="2" fillId="0" borderId="0"/>
    <xf numFmtId="0" fontId="4" fillId="0" borderId="0"/>
    <xf numFmtId="43" fontId="1" fillId="0" borderId="0" applyFont="0" applyFill="0" applyBorder="0" applyAlignment="0" applyProtection="0"/>
    <xf numFmtId="41" fontId="1" fillId="0" borderId="0" applyFont="0" applyFill="0" applyBorder="0" applyAlignment="0" applyProtection="0"/>
    <xf numFmtId="0" fontId="8" fillId="0" borderId="0"/>
    <xf numFmtId="0" fontId="4" fillId="0" borderId="0"/>
    <xf numFmtId="9" fontId="1" fillId="0" borderId="0" applyFont="0" applyFill="0" applyBorder="0" applyAlignment="0" applyProtection="0"/>
    <xf numFmtId="44" fontId="1" fillId="0" borderId="0" applyFont="0" applyFill="0" applyBorder="0" applyAlignment="0" applyProtection="0"/>
  </cellStyleXfs>
  <cellXfs count="228">
    <xf numFmtId="0" fontId="0" fillId="0" borderId="0" xfId="0"/>
    <xf numFmtId="43" fontId="11" fillId="0" borderId="0" xfId="3" applyFont="1" applyAlignment="1">
      <alignment horizontal="center" vertical="center"/>
    </xf>
    <xf numFmtId="43" fontId="3" fillId="2" borderId="0" xfId="3" applyFont="1" applyFill="1" applyBorder="1" applyAlignment="1" applyProtection="1">
      <alignment horizontal="center" vertical="center" wrapText="1"/>
      <protection hidden="1"/>
    </xf>
    <xf numFmtId="0" fontId="3" fillId="2" borderId="2" xfId="0" applyFont="1" applyFill="1" applyBorder="1" applyAlignment="1" applyProtection="1">
      <alignment horizontal="center" vertical="center" wrapText="1" readingOrder="1"/>
      <protection locked="0"/>
    </xf>
    <xf numFmtId="0" fontId="3" fillId="2" borderId="3" xfId="0" applyFont="1" applyFill="1" applyBorder="1" applyAlignment="1" applyProtection="1">
      <alignment horizontal="center" vertical="center" wrapText="1" readingOrder="1"/>
      <protection locked="0"/>
    </xf>
    <xf numFmtId="0" fontId="10" fillId="0" borderId="1" xfId="0" applyFont="1" applyBorder="1" applyAlignment="1">
      <alignment horizontal="center" vertical="center"/>
    </xf>
    <xf numFmtId="0" fontId="11" fillId="0" borderId="0" xfId="0" applyFont="1" applyAlignment="1">
      <alignment vertical="center"/>
    </xf>
    <xf numFmtId="0" fontId="11" fillId="0" borderId="1" xfId="0" applyFont="1" applyBorder="1" applyAlignment="1" applyProtection="1">
      <alignment horizontal="center" vertical="center" wrapText="1" readingOrder="1"/>
      <protection locked="0"/>
    </xf>
    <xf numFmtId="0" fontId="11" fillId="0" borderId="1" xfId="0" applyFont="1" applyBorder="1" applyAlignment="1">
      <alignment horizontal="center" vertical="center"/>
    </xf>
    <xf numFmtId="0" fontId="5" fillId="0" borderId="1" xfId="0" applyFont="1" applyBorder="1" applyAlignment="1" applyProtection="1">
      <alignment horizontal="center" vertical="center" wrapText="1"/>
      <protection hidden="1"/>
    </xf>
    <xf numFmtId="43" fontId="6" fillId="3" borderId="1" xfId="3" applyFont="1" applyFill="1" applyBorder="1" applyAlignment="1" applyProtection="1">
      <alignment horizontal="center" vertical="center" wrapText="1"/>
      <protection hidden="1"/>
    </xf>
    <xf numFmtId="43" fontId="14" fillId="0" borderId="1" xfId="3" applyFont="1" applyBorder="1" applyAlignment="1">
      <alignment horizontal="center" vertical="center"/>
    </xf>
    <xf numFmtId="43" fontId="14" fillId="0" borderId="1" xfId="3" applyFont="1" applyBorder="1" applyAlignment="1">
      <alignment horizontal="center" vertical="center" wrapText="1"/>
    </xf>
    <xf numFmtId="49" fontId="5" fillId="3" borderId="1" xfId="0" applyNumberFormat="1" applyFont="1" applyFill="1" applyBorder="1" applyAlignment="1" applyProtection="1">
      <alignment horizontal="center" vertical="center" wrapText="1"/>
      <protection hidden="1"/>
    </xf>
    <xf numFmtId="49" fontId="5" fillId="5" borderId="1" xfId="0" applyNumberFormat="1" applyFont="1" applyFill="1" applyBorder="1" applyAlignment="1" applyProtection="1">
      <alignment horizontal="center" vertical="center" wrapText="1"/>
      <protection hidden="1"/>
    </xf>
    <xf numFmtId="0" fontId="5" fillId="5" borderId="1"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11" fillId="0" borderId="1" xfId="0" applyFont="1" applyBorder="1" applyAlignment="1">
      <alignment horizontal="center" vertical="center" wrapText="1"/>
    </xf>
    <xf numFmtId="0" fontId="16" fillId="0" borderId="1" xfId="0" applyFont="1" applyBorder="1" applyAlignment="1">
      <alignment horizontal="center" vertical="center" wrapText="1"/>
    </xf>
    <xf numFmtId="43" fontId="16" fillId="4" borderId="1" xfId="3" applyFont="1" applyFill="1" applyBorder="1" applyAlignment="1" applyProtection="1">
      <alignment horizontal="center" vertical="center" wrapText="1"/>
      <protection hidden="1"/>
    </xf>
    <xf numFmtId="43" fontId="11" fillId="0" borderId="1" xfId="0" applyNumberFormat="1" applyFont="1" applyBorder="1" applyAlignment="1">
      <alignment vertical="center"/>
    </xf>
    <xf numFmtId="0" fontId="11" fillId="0" borderId="1" xfId="5" applyFont="1" applyBorder="1" applyAlignment="1">
      <alignment horizontal="center" vertical="center" wrapText="1"/>
    </xf>
    <xf numFmtId="0" fontId="11" fillId="0" borderId="1" xfId="6" applyFont="1" applyBorder="1" applyAlignment="1">
      <alignment horizontal="center" vertical="center"/>
    </xf>
    <xf numFmtId="0" fontId="11" fillId="0" borderId="1" xfId="6" applyFont="1" applyBorder="1" applyAlignment="1">
      <alignment horizontal="center" vertical="center" wrapText="1"/>
    </xf>
    <xf numFmtId="49" fontId="16" fillId="0" borderId="1" xfId="0" applyNumberFormat="1" applyFont="1" applyBorder="1" applyAlignment="1">
      <alignment horizontal="center" vertical="center" wrapText="1"/>
    </xf>
    <xf numFmtId="41" fontId="11" fillId="0" borderId="1" xfId="0" applyNumberFormat="1" applyFont="1" applyBorder="1" applyAlignment="1">
      <alignment horizontal="center" vertical="center"/>
    </xf>
    <xf numFmtId="41" fontId="11" fillId="0" borderId="1" xfId="0" applyNumberFormat="1" applyFont="1" applyBorder="1" applyAlignment="1">
      <alignment horizontal="center" vertical="center" wrapText="1"/>
    </xf>
    <xf numFmtId="41" fontId="13" fillId="0" borderId="1" xfId="4" applyFont="1" applyFill="1" applyBorder="1" applyAlignment="1">
      <alignment vertical="center"/>
    </xf>
    <xf numFmtId="0" fontId="13" fillId="0" borderId="1" xfId="0" applyFont="1" applyBorder="1" applyAlignment="1">
      <alignment horizontal="left" vertical="center" wrapText="1"/>
    </xf>
    <xf numFmtId="0" fontId="16" fillId="5" borderId="1" xfId="0" applyFont="1" applyFill="1" applyBorder="1" applyAlignment="1">
      <alignment horizontal="center" vertical="center" wrapText="1"/>
    </xf>
    <xf numFmtId="41" fontId="13" fillId="0" borderId="1" xfId="4" applyFont="1" applyFill="1" applyBorder="1" applyAlignment="1">
      <alignment vertical="center" wrapText="1"/>
    </xf>
    <xf numFmtId="41" fontId="16" fillId="0" borderId="1" xfId="4" applyFont="1" applyFill="1" applyBorder="1" applyAlignment="1">
      <alignment vertical="center"/>
    </xf>
    <xf numFmtId="0" fontId="16" fillId="0" borderId="1" xfId="0" applyFont="1" applyBorder="1" applyAlignment="1">
      <alignment horizontal="left" vertical="center" wrapText="1"/>
    </xf>
    <xf numFmtId="41" fontId="16" fillId="0" borderId="1" xfId="4" applyFont="1" applyFill="1" applyBorder="1" applyAlignment="1">
      <alignment vertical="center" wrapText="1"/>
    </xf>
    <xf numFmtId="41" fontId="16" fillId="0" borderId="1" xfId="4" applyFont="1" applyFill="1" applyBorder="1" applyAlignment="1">
      <alignment horizontal="center" vertical="center"/>
    </xf>
    <xf numFmtId="41" fontId="16" fillId="0" borderId="1" xfId="4" applyFont="1" applyFill="1" applyBorder="1" applyAlignment="1">
      <alignment horizontal="center" vertical="center" wrapText="1"/>
    </xf>
    <xf numFmtId="0" fontId="16" fillId="0" borderId="1" xfId="5" applyFont="1" applyBorder="1" applyAlignment="1">
      <alignment horizontal="center" vertical="center" wrapText="1"/>
    </xf>
    <xf numFmtId="43" fontId="11" fillId="0" borderId="0" xfId="3" applyFont="1" applyAlignment="1">
      <alignment vertical="center"/>
    </xf>
    <xf numFmtId="0" fontId="11" fillId="0" borderId="0" xfId="0" applyFont="1" applyAlignment="1">
      <alignment vertical="center" wrapText="1"/>
    </xf>
    <xf numFmtId="43" fontId="6" fillId="6" borderId="1" xfId="3" applyFont="1" applyFill="1" applyBorder="1" applyAlignment="1" applyProtection="1">
      <alignment horizontal="center" vertical="center" wrapText="1"/>
      <protection hidden="1"/>
    </xf>
    <xf numFmtId="43" fontId="7" fillId="6" borderId="1" xfId="3" applyFont="1" applyFill="1" applyBorder="1" applyAlignment="1" applyProtection="1">
      <alignment horizontal="center" vertical="center" wrapText="1"/>
      <protection hidden="1"/>
    </xf>
    <xf numFmtId="43" fontId="11" fillId="0" borderId="0" xfId="0" applyNumberFormat="1" applyFont="1" applyAlignment="1">
      <alignment horizontal="center" vertical="center" wrapText="1"/>
    </xf>
    <xf numFmtId="43" fontId="11" fillId="0" borderId="0" xfId="0" applyNumberFormat="1" applyFont="1" applyAlignment="1">
      <alignment vertical="center"/>
    </xf>
    <xf numFmtId="0" fontId="17" fillId="8" borderId="7" xfId="0" applyFont="1" applyFill="1" applyBorder="1" applyAlignment="1" applyProtection="1">
      <alignment horizontal="center" vertical="center" wrapText="1"/>
      <protection hidden="1"/>
    </xf>
    <xf numFmtId="0" fontId="17" fillId="8" borderId="8" xfId="0" applyFont="1" applyFill="1" applyBorder="1" applyAlignment="1" applyProtection="1">
      <alignment horizontal="center" vertical="center" wrapText="1"/>
      <protection hidden="1"/>
    </xf>
    <xf numFmtId="43" fontId="18" fillId="9" borderId="9" xfId="3" applyFont="1" applyFill="1" applyBorder="1" applyAlignment="1">
      <alignment horizontal="center" vertical="center" wrapText="1"/>
    </xf>
    <xf numFmtId="0" fontId="19" fillId="10" borderId="9" xfId="0" applyFont="1" applyFill="1" applyBorder="1" applyAlignment="1">
      <alignment horizontal="center" vertical="center" wrapText="1"/>
    </xf>
    <xf numFmtId="43" fontId="19" fillId="10" borderId="9" xfId="3" applyFont="1" applyFill="1" applyBorder="1" applyAlignment="1">
      <alignment horizontal="center" vertical="center" wrapText="1"/>
    </xf>
    <xf numFmtId="0" fontId="19" fillId="10" borderId="10" xfId="0" applyFont="1" applyFill="1" applyBorder="1" applyAlignment="1">
      <alignment horizontal="center" vertical="center" wrapText="1"/>
    </xf>
    <xf numFmtId="0" fontId="9" fillId="0" borderId="11" xfId="0" applyFont="1" applyBorder="1" applyAlignment="1" applyProtection="1">
      <alignment horizontal="center" vertical="center" wrapText="1"/>
      <protection hidden="1"/>
    </xf>
    <xf numFmtId="0" fontId="9" fillId="0" borderId="12" xfId="0" applyFont="1" applyBorder="1" applyAlignment="1" applyProtection="1">
      <alignment horizontal="center" vertical="center" wrapText="1"/>
      <protection hidden="1"/>
    </xf>
    <xf numFmtId="0" fontId="20" fillId="0" borderId="12" xfId="0" applyFont="1" applyBorder="1" applyAlignment="1">
      <alignment horizontal="center" vertical="center"/>
    </xf>
    <xf numFmtId="0" fontId="9" fillId="0" borderId="14" xfId="0" applyFont="1" applyBorder="1" applyAlignment="1" applyProtection="1">
      <alignment horizontal="center" vertical="center" wrapText="1"/>
      <protection hidden="1"/>
    </xf>
    <xf numFmtId="0" fontId="9" fillId="0" borderId="1" xfId="0" applyFont="1" applyBorder="1" applyAlignment="1" applyProtection="1">
      <alignment horizontal="center" vertical="center" wrapText="1"/>
      <protection hidden="1"/>
    </xf>
    <xf numFmtId="0" fontId="20" fillId="0" borderId="1" xfId="0" applyFont="1" applyBorder="1" applyAlignment="1">
      <alignment horizontal="center" vertical="center"/>
    </xf>
    <xf numFmtId="0" fontId="9" fillId="0" borderId="16" xfId="0" applyFont="1" applyBorder="1" applyAlignment="1" applyProtection="1">
      <alignment horizontal="center" vertical="center" wrapText="1"/>
      <protection hidden="1"/>
    </xf>
    <xf numFmtId="0" fontId="9" fillId="0" borderId="3" xfId="0" applyFont="1" applyBorder="1" applyAlignment="1" applyProtection="1">
      <alignment horizontal="center" vertical="center" wrapText="1"/>
      <protection hidden="1"/>
    </xf>
    <xf numFmtId="0" fontId="20" fillId="0" borderId="3" xfId="0" applyFont="1" applyBorder="1" applyAlignment="1">
      <alignment horizontal="center" vertical="center"/>
    </xf>
    <xf numFmtId="0" fontId="20" fillId="0" borderId="5" xfId="0" applyFont="1" applyBorder="1" applyAlignment="1">
      <alignment horizontal="center" vertical="center"/>
    </xf>
    <xf numFmtId="0" fontId="20" fillId="0" borderId="18" xfId="0" applyFont="1" applyBorder="1" applyAlignment="1">
      <alignment horizontal="center" vertical="center"/>
    </xf>
    <xf numFmtId="1" fontId="15" fillId="11" borderId="1" xfId="0" applyNumberFormat="1" applyFont="1" applyFill="1" applyBorder="1" applyAlignment="1">
      <alignment horizontal="center" vertical="center" shrinkToFit="1"/>
    </xf>
    <xf numFmtId="1" fontId="13" fillId="11" borderId="1" xfId="0" applyNumberFormat="1" applyFont="1" applyFill="1" applyBorder="1" applyAlignment="1">
      <alignment horizontal="center" vertical="center" shrinkToFit="1"/>
    </xf>
    <xf numFmtId="0" fontId="13" fillId="0" borderId="1" xfId="0" applyFont="1" applyBorder="1" applyAlignment="1">
      <alignment horizontal="center" vertical="center" wrapText="1"/>
    </xf>
    <xf numFmtId="43" fontId="5" fillId="5" borderId="1" xfId="3" applyFont="1" applyFill="1" applyBorder="1" applyAlignment="1" applyProtection="1">
      <alignment horizontal="center" vertical="center" wrapText="1"/>
      <protection hidden="1"/>
    </xf>
    <xf numFmtId="14" fontId="11" fillId="0" borderId="1" xfId="0" applyNumberFormat="1" applyFont="1" applyBorder="1" applyAlignment="1" applyProtection="1">
      <alignment horizontal="center" vertical="center" wrapText="1" readingOrder="1"/>
      <protection locked="0"/>
    </xf>
    <xf numFmtId="43" fontId="0" fillId="0" borderId="0" xfId="3" applyFont="1" applyBorder="1"/>
    <xf numFmtId="0" fontId="20" fillId="0" borderId="0" xfId="0" applyFont="1" applyAlignment="1">
      <alignment horizontal="center" vertical="center"/>
    </xf>
    <xf numFmtId="0" fontId="21" fillId="5" borderId="0" xfId="0" applyFont="1" applyFill="1" applyAlignment="1">
      <alignment vertical="center"/>
    </xf>
    <xf numFmtId="0" fontId="23" fillId="0" borderId="0" xfId="0" applyFont="1" applyAlignment="1">
      <alignment vertical="center"/>
    </xf>
    <xf numFmtId="0" fontId="11" fillId="0" borderId="0" xfId="0" applyFont="1"/>
    <xf numFmtId="43" fontId="11" fillId="0" borderId="0" xfId="3" applyFont="1" applyAlignment="1">
      <alignment wrapText="1"/>
    </xf>
    <xf numFmtId="43" fontId="11" fillId="0" borderId="0" xfId="3" applyFont="1" applyAlignment="1">
      <alignment horizontal="center" vertical="center" wrapText="1"/>
    </xf>
    <xf numFmtId="43" fontId="11" fillId="0" borderId="0" xfId="3" applyFont="1"/>
    <xf numFmtId="43" fontId="11" fillId="0" borderId="1" xfId="3" applyFont="1" applyBorder="1" applyAlignment="1">
      <alignment horizontal="center" vertical="center" wrapText="1"/>
    </xf>
    <xf numFmtId="0" fontId="26" fillId="0" borderId="1" xfId="0" applyFont="1" applyBorder="1" applyAlignment="1" applyProtection="1">
      <alignment horizontal="center" vertical="center" wrapText="1" readingOrder="1"/>
      <protection locked="0"/>
    </xf>
    <xf numFmtId="0" fontId="26" fillId="0" borderId="0" xfId="0" applyFont="1"/>
    <xf numFmtId="0" fontId="27" fillId="0" borderId="1" xfId="0" applyFont="1" applyBorder="1" applyAlignment="1" applyProtection="1">
      <alignment horizontal="center" vertical="center" wrapText="1" readingOrder="1"/>
      <protection locked="0"/>
    </xf>
    <xf numFmtId="43" fontId="26" fillId="0" borderId="0" xfId="3" applyFont="1" applyFill="1" applyAlignment="1">
      <alignment horizontal="center" vertical="center"/>
    </xf>
    <xf numFmtId="43" fontId="0" fillId="0" borderId="0" xfId="0" applyNumberFormat="1"/>
    <xf numFmtId="0" fontId="29" fillId="0" borderId="0" xfId="0" applyFont="1" applyAlignment="1">
      <alignment horizontal="center" vertical="center"/>
    </xf>
    <xf numFmtId="0" fontId="14" fillId="0" borderId="1" xfId="0" applyFont="1" applyBorder="1" applyAlignment="1">
      <alignment horizontal="center" vertical="center" wrapText="1"/>
    </xf>
    <xf numFmtId="43" fontId="4" fillId="0" borderId="0" xfId="3" applyFont="1" applyFill="1" applyBorder="1" applyAlignment="1" applyProtection="1">
      <alignment horizontal="center" vertical="center"/>
      <protection hidden="1"/>
    </xf>
    <xf numFmtId="43" fontId="26" fillId="0" borderId="0" xfId="3" applyFont="1" applyFill="1" applyBorder="1" applyAlignment="1" applyProtection="1">
      <alignment horizontal="center" vertical="center"/>
      <protection hidden="1"/>
    </xf>
    <xf numFmtId="0" fontId="28" fillId="0" borderId="0" xfId="0" applyFont="1" applyAlignment="1" applyProtection="1">
      <alignment horizontal="right" vertical="center" wrapText="1"/>
      <protection hidden="1"/>
    </xf>
    <xf numFmtId="9" fontId="28" fillId="0" borderId="0" xfId="7" applyFont="1" applyFill="1" applyBorder="1" applyAlignment="1" applyProtection="1">
      <alignment horizontal="center" vertical="center"/>
      <protection hidden="1"/>
    </xf>
    <xf numFmtId="0" fontId="28" fillId="0" borderId="0" xfId="0" applyFont="1" applyAlignment="1" applyProtection="1">
      <alignment vertical="center" wrapText="1"/>
      <protection hidden="1"/>
    </xf>
    <xf numFmtId="43" fontId="27" fillId="0" borderId="0" xfId="3" applyFont="1" applyFill="1" applyBorder="1" applyAlignment="1" applyProtection="1">
      <alignment horizontal="center" vertical="center"/>
      <protection hidden="1"/>
    </xf>
    <xf numFmtId="0" fontId="27" fillId="0" borderId="0" xfId="0" applyFont="1" applyAlignment="1">
      <alignment horizontal="center" vertical="center"/>
    </xf>
    <xf numFmtId="0" fontId="29" fillId="0" borderId="0" xfId="0" applyFont="1"/>
    <xf numFmtId="0" fontId="0" fillId="14" borderId="21" xfId="0" applyFill="1" applyBorder="1" applyAlignment="1">
      <alignment horizontal="center" vertical="center" wrapText="1"/>
    </xf>
    <xf numFmtId="0" fontId="0" fillId="14" borderId="21" xfId="0" applyFill="1" applyBorder="1" applyAlignment="1">
      <alignment horizontal="center" vertical="center"/>
    </xf>
    <xf numFmtId="49" fontId="0" fillId="14" borderId="22" xfId="0" applyNumberFormat="1" applyFill="1" applyBorder="1" applyAlignment="1">
      <alignment horizontal="center" vertical="center"/>
    </xf>
    <xf numFmtId="0" fontId="31" fillId="12" borderId="1" xfId="0" applyFont="1" applyFill="1" applyBorder="1" applyAlignment="1">
      <alignment horizontal="center" vertical="center"/>
    </xf>
    <xf numFmtId="49" fontId="11" fillId="0" borderId="1" xfId="0" applyNumberFormat="1" applyFont="1" applyBorder="1" applyAlignment="1" applyProtection="1">
      <alignment horizontal="left" vertical="center" wrapText="1"/>
      <protection hidden="1"/>
    </xf>
    <xf numFmtId="0" fontId="11" fillId="16" borderId="1" xfId="0" applyFont="1" applyFill="1" applyBorder="1" applyAlignment="1" applyProtection="1">
      <alignment horizontal="center" vertical="center" wrapText="1" readingOrder="1"/>
      <protection locked="0"/>
    </xf>
    <xf numFmtId="0" fontId="11" fillId="0" borderId="0" xfId="0" applyFont="1" applyAlignment="1" applyProtection="1">
      <alignment horizontal="center" vertical="center" wrapText="1" readingOrder="1"/>
      <protection locked="0"/>
    </xf>
    <xf numFmtId="0" fontId="11" fillId="0" borderId="0" xfId="0" applyFont="1" applyAlignment="1">
      <alignment horizontal="center" vertical="center"/>
    </xf>
    <xf numFmtId="0" fontId="0" fillId="0" borderId="1" xfId="0" applyBorder="1"/>
    <xf numFmtId="0" fontId="32" fillId="17" borderId="1" xfId="0" applyFont="1" applyFill="1" applyBorder="1" applyAlignment="1">
      <alignment horizontal="center"/>
    </xf>
    <xf numFmtId="0" fontId="16" fillId="0" borderId="1" xfId="0" applyFont="1" applyBorder="1" applyAlignment="1" applyProtection="1">
      <alignment horizontal="center" vertical="center" wrapText="1" readingOrder="1"/>
      <protection locked="0"/>
    </xf>
    <xf numFmtId="14" fontId="16" fillId="0" borderId="1" xfId="0" applyNumberFormat="1" applyFont="1" applyBorder="1" applyAlignment="1" applyProtection="1">
      <alignment horizontal="center" vertical="center" wrapText="1" readingOrder="1"/>
      <protection locked="0"/>
    </xf>
    <xf numFmtId="14" fontId="11" fillId="16" borderId="1" xfId="0" applyNumberFormat="1" applyFont="1" applyFill="1" applyBorder="1" applyAlignment="1" applyProtection="1">
      <alignment horizontal="center" vertical="center" wrapText="1" readingOrder="1"/>
      <protection locked="0"/>
    </xf>
    <xf numFmtId="0" fontId="3" fillId="2" borderId="1" xfId="0" applyFont="1" applyFill="1" applyBorder="1" applyAlignment="1" applyProtection="1">
      <alignment horizontal="center" vertical="center" wrapText="1" readingOrder="1"/>
      <protection locked="0"/>
    </xf>
    <xf numFmtId="49" fontId="5" fillId="7" borderId="1" xfId="0" applyNumberFormat="1" applyFont="1" applyFill="1" applyBorder="1" applyAlignment="1" applyProtection="1">
      <alignment horizontal="center" vertical="center" wrapText="1"/>
      <protection hidden="1"/>
    </xf>
    <xf numFmtId="0" fontId="16" fillId="0" borderId="1" xfId="0" applyFont="1" applyBorder="1" applyAlignment="1">
      <alignment horizontal="center" vertical="center"/>
    </xf>
    <xf numFmtId="0" fontId="9" fillId="0" borderId="1" xfId="0" applyFont="1" applyBorder="1" applyAlignment="1">
      <alignment horizontal="center" vertical="center"/>
    </xf>
    <xf numFmtId="0" fontId="11" fillId="0" borderId="0" xfId="0" applyFont="1" applyAlignment="1">
      <alignment horizontal="left"/>
    </xf>
    <xf numFmtId="0" fontId="20" fillId="0" borderId="1" xfId="3" applyNumberFormat="1" applyFont="1" applyFill="1" applyBorder="1" applyAlignment="1">
      <alignment horizontal="center" vertical="center"/>
    </xf>
    <xf numFmtId="0" fontId="20" fillId="0" borderId="15" xfId="0" applyFont="1" applyBorder="1" applyAlignment="1">
      <alignment horizontal="center" vertical="center"/>
    </xf>
    <xf numFmtId="0" fontId="20" fillId="0" borderId="3" xfId="3" applyNumberFormat="1" applyFont="1" applyFill="1" applyBorder="1" applyAlignment="1">
      <alignment horizontal="center" vertical="center"/>
    </xf>
    <xf numFmtId="0" fontId="20" fillId="0" borderId="17" xfId="0" applyFont="1" applyBorder="1" applyAlignment="1">
      <alignment horizontal="center" vertical="center"/>
    </xf>
    <xf numFmtId="0" fontId="11" fillId="0" borderId="1" xfId="0" applyFont="1" applyBorder="1" applyAlignment="1">
      <alignment horizontal="left" vertical="center"/>
    </xf>
    <xf numFmtId="0" fontId="11" fillId="0" borderId="1" xfId="0" applyFont="1" applyBorder="1" applyAlignment="1">
      <alignment horizontal="left" vertical="center" wrapText="1"/>
    </xf>
    <xf numFmtId="0" fontId="0" fillId="0" borderId="0" xfId="0" applyAlignment="1">
      <alignment horizontal="left"/>
    </xf>
    <xf numFmtId="0" fontId="11" fillId="0" borderId="1" xfId="0" applyFont="1" applyBorder="1" applyAlignment="1" applyProtection="1">
      <alignment horizontal="left" vertical="center" readingOrder="1"/>
      <protection locked="0"/>
    </xf>
    <xf numFmtId="49" fontId="11" fillId="0" borderId="1" xfId="0" applyNumberFormat="1" applyFont="1" applyBorder="1" applyAlignment="1" applyProtection="1">
      <alignment horizontal="left" vertical="center"/>
      <protection hidden="1"/>
    </xf>
    <xf numFmtId="0" fontId="11" fillId="0" borderId="19" xfId="0" applyFont="1" applyBorder="1" applyAlignment="1">
      <alignment horizontal="left" vertical="center"/>
    </xf>
    <xf numFmtId="0" fontId="16" fillId="0" borderId="1" xfId="0" applyFont="1" applyBorder="1" applyAlignment="1" applyProtection="1">
      <alignment horizontal="left" vertical="center" readingOrder="1"/>
      <protection locked="0"/>
    </xf>
    <xf numFmtId="49" fontId="11" fillId="16" borderId="1" xfId="0" applyNumberFormat="1" applyFont="1" applyFill="1" applyBorder="1" applyAlignment="1" applyProtection="1">
      <alignment horizontal="left" vertical="center"/>
      <protection hidden="1"/>
    </xf>
    <xf numFmtId="0" fontId="11" fillId="7" borderId="1" xfId="0" applyFont="1" applyFill="1" applyBorder="1" applyAlignment="1" applyProtection="1">
      <alignment horizontal="center" vertical="center" wrapText="1" readingOrder="1"/>
      <protection locked="0"/>
    </xf>
    <xf numFmtId="0" fontId="11" fillId="18" borderId="1" xfId="0" applyFont="1" applyFill="1" applyBorder="1" applyAlignment="1" applyProtection="1">
      <alignment horizontal="center" vertical="center" wrapText="1" readingOrder="1"/>
      <protection locked="0"/>
    </xf>
    <xf numFmtId="0" fontId="16" fillId="18" borderId="1" xfId="0" applyFont="1" applyFill="1" applyBorder="1" applyAlignment="1" applyProtection="1">
      <alignment horizontal="center" vertical="center" wrapText="1" readingOrder="1"/>
      <protection locked="0"/>
    </xf>
    <xf numFmtId="0" fontId="33" fillId="0" borderId="1" xfId="0" applyFont="1" applyBorder="1"/>
    <xf numFmtId="0" fontId="30" fillId="0" borderId="1" xfId="0" applyFont="1" applyBorder="1" applyAlignment="1">
      <alignment horizontal="center" vertical="center"/>
    </xf>
    <xf numFmtId="49" fontId="11" fillId="16" borderId="1" xfId="0" applyNumberFormat="1" applyFont="1" applyFill="1" applyBorder="1" applyAlignment="1" applyProtection="1">
      <alignment horizontal="left" vertical="center" wrapText="1"/>
      <protection hidden="1"/>
    </xf>
    <xf numFmtId="49" fontId="13" fillId="0" borderId="1" xfId="0" applyNumberFormat="1" applyFont="1" applyBorder="1" applyAlignment="1" applyProtection="1">
      <alignment horizontal="left" vertical="center"/>
      <protection hidden="1"/>
    </xf>
    <xf numFmtId="49" fontId="16" fillId="0" borderId="1" xfId="0" applyNumberFormat="1" applyFont="1" applyBorder="1" applyAlignment="1" applyProtection="1">
      <alignment horizontal="left" vertical="center" wrapText="1"/>
      <protection hidden="1"/>
    </xf>
    <xf numFmtId="0" fontId="20" fillId="16" borderId="12" xfId="0" applyFont="1" applyFill="1" applyBorder="1" applyAlignment="1">
      <alignment horizontal="center" vertical="center"/>
    </xf>
    <xf numFmtId="0" fontId="20" fillId="7" borderId="12" xfId="0" applyFont="1" applyFill="1" applyBorder="1" applyAlignment="1">
      <alignment horizontal="center" vertical="center"/>
    </xf>
    <xf numFmtId="0" fontId="20" fillId="7" borderId="1" xfId="0" applyFont="1" applyFill="1" applyBorder="1" applyAlignment="1">
      <alignment horizontal="center" vertical="center"/>
    </xf>
    <xf numFmtId="0" fontId="20" fillId="7" borderId="3" xfId="0" applyFont="1" applyFill="1" applyBorder="1" applyAlignment="1">
      <alignment horizontal="center" vertical="center"/>
    </xf>
    <xf numFmtId="49" fontId="11" fillId="7" borderId="1" xfId="0" applyNumberFormat="1" applyFont="1" applyFill="1" applyBorder="1" applyAlignment="1" applyProtection="1">
      <alignment horizontal="left" vertical="center"/>
      <protection hidden="1"/>
    </xf>
    <xf numFmtId="0" fontId="16" fillId="7" borderId="1" xfId="0" applyFont="1" applyFill="1" applyBorder="1" applyAlignment="1" applyProtection="1">
      <alignment horizontal="center" vertical="center" wrapText="1" readingOrder="1"/>
      <protection locked="0"/>
    </xf>
    <xf numFmtId="0" fontId="20" fillId="7" borderId="12" xfId="3" applyNumberFormat="1" applyFont="1" applyFill="1" applyBorder="1" applyAlignment="1">
      <alignment horizontal="center" vertical="center"/>
    </xf>
    <xf numFmtId="0" fontId="20" fillId="7" borderId="13" xfId="0" applyFont="1" applyFill="1" applyBorder="1" applyAlignment="1">
      <alignment horizontal="center" vertical="center"/>
    </xf>
    <xf numFmtId="43" fontId="12" fillId="2" borderId="4" xfId="8" applyNumberFormat="1" applyFont="1" applyFill="1" applyBorder="1" applyAlignment="1" applyProtection="1">
      <alignment horizontal="center" vertical="center" wrapText="1"/>
      <protection hidden="1"/>
    </xf>
    <xf numFmtId="43" fontId="3" fillId="2" borderId="4" xfId="8" applyNumberFormat="1" applyFont="1" applyFill="1" applyBorder="1" applyAlignment="1" applyProtection="1">
      <alignment horizontal="center" vertical="center" wrapText="1"/>
      <protection hidden="1"/>
    </xf>
    <xf numFmtId="43" fontId="3" fillId="2" borderId="0" xfId="8" applyNumberFormat="1" applyFont="1" applyFill="1" applyBorder="1" applyAlignment="1" applyProtection="1">
      <alignment horizontal="center" vertical="center" wrapText="1"/>
      <protection hidden="1"/>
    </xf>
    <xf numFmtId="43" fontId="14" fillId="0" borderId="1" xfId="8" applyNumberFormat="1" applyFont="1" applyBorder="1" applyAlignment="1" applyProtection="1">
      <alignment horizontal="center" vertical="center" wrapText="1"/>
      <protection hidden="1"/>
    </xf>
    <xf numFmtId="43" fontId="12" fillId="0" borderId="1" xfId="8" applyNumberFormat="1" applyFont="1" applyBorder="1" applyAlignment="1" applyProtection="1">
      <alignment horizontal="center" vertical="center" wrapText="1"/>
      <protection hidden="1"/>
    </xf>
    <xf numFmtId="43" fontId="11" fillId="0" borderId="1" xfId="8" applyNumberFormat="1" applyFont="1" applyFill="1" applyBorder="1" applyAlignment="1">
      <alignment horizontal="center" vertical="center"/>
    </xf>
    <xf numFmtId="43" fontId="11" fillId="0" borderId="1" xfId="8" applyNumberFormat="1" applyFont="1" applyBorder="1" applyAlignment="1">
      <alignment horizontal="left" vertical="center"/>
    </xf>
    <xf numFmtId="43" fontId="11" fillId="7" borderId="1" xfId="8" applyNumberFormat="1" applyFont="1" applyFill="1" applyBorder="1" applyAlignment="1">
      <alignment horizontal="left" vertical="center"/>
    </xf>
    <xf numFmtId="43" fontId="11" fillId="15" borderId="1" xfId="8" applyNumberFormat="1" applyFont="1" applyFill="1" applyBorder="1" applyAlignment="1" applyProtection="1">
      <alignment horizontal="left" vertical="center" wrapText="1"/>
      <protection hidden="1"/>
    </xf>
    <xf numFmtId="43" fontId="11" fillId="7" borderId="1" xfId="8" applyNumberFormat="1" applyFont="1" applyFill="1" applyBorder="1" applyAlignment="1" applyProtection="1">
      <alignment horizontal="left" vertical="center" wrapText="1"/>
      <protection hidden="1"/>
    </xf>
    <xf numFmtId="43" fontId="11" fillId="7" borderId="1" xfId="8" applyNumberFormat="1" applyFont="1" applyFill="1" applyBorder="1" applyAlignment="1" applyProtection="1">
      <alignment horizontal="center" vertical="center" wrapText="1" readingOrder="1"/>
      <protection locked="0"/>
    </xf>
    <xf numFmtId="43" fontId="11" fillId="0" borderId="1" xfId="8" applyNumberFormat="1" applyFont="1" applyBorder="1" applyAlignment="1" applyProtection="1">
      <alignment horizontal="left" vertical="center" wrapText="1"/>
      <protection hidden="1"/>
    </xf>
    <xf numFmtId="43" fontId="11" fillId="15" borderId="1" xfId="8" applyNumberFormat="1" applyFont="1" applyFill="1" applyBorder="1" applyAlignment="1">
      <alignment horizontal="left" vertical="center"/>
    </xf>
    <xf numFmtId="43" fontId="11" fillId="16" borderId="1" xfId="8" applyNumberFormat="1" applyFont="1" applyFill="1" applyBorder="1" applyAlignment="1">
      <alignment horizontal="left" vertical="center"/>
    </xf>
    <xf numFmtId="43" fontId="11" fillId="15" borderId="1" xfId="8" applyNumberFormat="1" applyFont="1" applyFill="1" applyBorder="1" applyAlignment="1">
      <alignment horizontal="center" vertical="center"/>
    </xf>
    <xf numFmtId="43" fontId="11" fillId="7" borderId="1" xfId="8" applyNumberFormat="1" applyFont="1" applyFill="1" applyBorder="1" applyAlignment="1">
      <alignment horizontal="center" vertical="center"/>
    </xf>
    <xf numFmtId="43" fontId="11" fillId="7" borderId="1" xfId="8" applyNumberFormat="1" applyFont="1" applyFill="1" applyBorder="1" applyAlignment="1">
      <alignment horizontal="left" vertical="center" wrapText="1"/>
    </xf>
    <xf numFmtId="43" fontId="11" fillId="16" borderId="1" xfId="8" applyNumberFormat="1" applyFont="1" applyFill="1" applyBorder="1" applyAlignment="1">
      <alignment horizontal="center" vertical="center"/>
    </xf>
    <xf numFmtId="43" fontId="11" fillId="0" borderId="1" xfId="8" applyNumberFormat="1" applyFont="1" applyFill="1" applyBorder="1" applyAlignment="1">
      <alignment horizontal="left" vertical="center"/>
    </xf>
    <xf numFmtId="43" fontId="11" fillId="0" borderId="1" xfId="8" applyNumberFormat="1" applyFont="1" applyFill="1" applyBorder="1" applyAlignment="1" applyProtection="1">
      <alignment horizontal="left" vertical="center" wrapText="1"/>
      <protection hidden="1"/>
    </xf>
    <xf numFmtId="43" fontId="0" fillId="0" borderId="0" xfId="8" applyNumberFormat="1" applyFont="1"/>
    <xf numFmtId="43" fontId="11" fillId="0" borderId="0" xfId="8" applyNumberFormat="1" applyFont="1" applyFill="1" applyBorder="1" applyAlignment="1">
      <alignment horizontal="center" vertical="center"/>
    </xf>
    <xf numFmtId="43" fontId="26" fillId="0" borderId="0" xfId="3" applyFont="1" applyFill="1" applyBorder="1" applyAlignment="1" applyProtection="1">
      <alignment horizontal="right" vertical="center"/>
      <protection hidden="1"/>
    </xf>
    <xf numFmtId="43" fontId="26" fillId="0" borderId="0" xfId="3" applyFont="1" applyFill="1" applyAlignment="1">
      <alignment horizontal="right" vertical="center"/>
    </xf>
    <xf numFmtId="0" fontId="28" fillId="0" borderId="26" xfId="0" applyFont="1" applyBorder="1" applyAlignment="1" applyProtection="1">
      <alignment horizontal="center" vertical="center" wrapText="1"/>
      <protection hidden="1"/>
    </xf>
    <xf numFmtId="43" fontId="26" fillId="0" borderId="28" xfId="0" applyNumberFormat="1" applyFont="1" applyBorder="1" applyAlignment="1">
      <alignment vertical="center"/>
    </xf>
    <xf numFmtId="0" fontId="4" fillId="0" borderId="11" xfId="0" applyFont="1" applyBorder="1" applyAlignment="1" applyProtection="1">
      <alignment horizontal="center" vertical="center" wrapText="1"/>
      <protection hidden="1"/>
    </xf>
    <xf numFmtId="0" fontId="26" fillId="0" borderId="12" xfId="0" applyFont="1" applyBorder="1" applyAlignment="1" applyProtection="1">
      <alignment horizontal="center" vertical="center" wrapText="1" readingOrder="1"/>
      <protection locked="0"/>
    </xf>
    <xf numFmtId="0" fontId="4" fillId="0" borderId="14" xfId="0" applyFont="1" applyBorder="1" applyAlignment="1" applyProtection="1">
      <alignment horizontal="center" vertical="center" wrapText="1"/>
      <protection hidden="1"/>
    </xf>
    <xf numFmtId="0" fontId="4" fillId="0" borderId="29" xfId="0" applyFont="1" applyBorder="1" applyAlignment="1" applyProtection="1">
      <alignment horizontal="center" vertical="center" wrapText="1"/>
      <protection hidden="1"/>
    </xf>
    <xf numFmtId="0" fontId="29" fillId="14" borderId="31" xfId="0" applyFont="1" applyFill="1" applyBorder="1" applyAlignment="1">
      <alignment horizontal="center" vertical="center"/>
    </xf>
    <xf numFmtId="0" fontId="29" fillId="5" borderId="20" xfId="0" applyFont="1" applyFill="1" applyBorder="1" applyAlignment="1">
      <alignment horizontal="center" vertical="center"/>
    </xf>
    <xf numFmtId="0" fontId="26" fillId="0" borderId="30" xfId="0" applyFont="1" applyBorder="1" applyAlignment="1">
      <alignment horizontal="center" vertical="center"/>
    </xf>
    <xf numFmtId="0" fontId="26" fillId="0" borderId="0" xfId="0" applyFont="1" applyFill="1"/>
    <xf numFmtId="0" fontId="0" fillId="0" borderId="0" xfId="0" applyFill="1"/>
    <xf numFmtId="0" fontId="0" fillId="0" borderId="0" xfId="0" applyFill="1" applyAlignment="1">
      <alignment horizontal="right"/>
    </xf>
    <xf numFmtId="44" fontId="0" fillId="0" borderId="0" xfId="8" applyFont="1" applyFill="1"/>
    <xf numFmtId="43" fontId="26" fillId="0" borderId="12" xfId="3" applyNumberFormat="1" applyFont="1" applyFill="1" applyBorder="1" applyAlignment="1">
      <alignment horizontal="center" vertical="center"/>
    </xf>
    <xf numFmtId="43" fontId="26" fillId="0" borderId="32" xfId="3" applyNumberFormat="1" applyFont="1" applyFill="1" applyBorder="1" applyAlignment="1">
      <alignment horizontal="center" vertical="center"/>
    </xf>
    <xf numFmtId="43" fontId="26" fillId="0" borderId="1" xfId="3" applyNumberFormat="1" applyFont="1" applyFill="1" applyBorder="1" applyAlignment="1">
      <alignment horizontal="center" vertical="center"/>
    </xf>
    <xf numFmtId="43" fontId="26" fillId="0" borderId="19" xfId="3" applyNumberFormat="1" applyFont="1" applyFill="1" applyBorder="1" applyAlignment="1">
      <alignment horizontal="center" vertical="center"/>
    </xf>
    <xf numFmtId="43" fontId="26" fillId="0" borderId="30" xfId="3" applyNumberFormat="1" applyFont="1" applyFill="1" applyBorder="1" applyAlignment="1">
      <alignment horizontal="center" vertical="center"/>
    </xf>
    <xf numFmtId="43" fontId="26" fillId="0" borderId="33" xfId="3" applyNumberFormat="1" applyFont="1" applyFill="1" applyBorder="1" applyAlignment="1">
      <alignment horizontal="center" vertical="center"/>
    </xf>
    <xf numFmtId="43" fontId="26" fillId="0" borderId="36" xfId="0" applyNumberFormat="1" applyFont="1" applyBorder="1" applyAlignment="1">
      <alignment vertical="center"/>
    </xf>
    <xf numFmtId="43" fontId="26" fillId="0" borderId="23" xfId="3" applyNumberFormat="1" applyFont="1" applyFill="1" applyBorder="1" applyAlignment="1">
      <alignment horizontal="center" vertical="center"/>
    </xf>
    <xf numFmtId="43" fontId="26" fillId="0" borderId="27" xfId="3" applyNumberFormat="1" applyFont="1" applyFill="1" applyBorder="1" applyAlignment="1">
      <alignment horizontal="center" vertical="center"/>
    </xf>
    <xf numFmtId="43" fontId="26" fillId="13" borderId="27" xfId="3" applyNumberFormat="1" applyFont="1" applyFill="1" applyBorder="1" applyAlignment="1">
      <alignment horizontal="center" vertical="center"/>
    </xf>
    <xf numFmtId="43" fontId="26" fillId="13" borderId="23" xfId="3" applyNumberFormat="1" applyFont="1" applyFill="1" applyBorder="1" applyAlignment="1">
      <alignment horizontal="center" vertical="center"/>
    </xf>
    <xf numFmtId="43" fontId="34" fillId="0" borderId="1" xfId="3" applyNumberFormat="1" applyFont="1" applyFill="1" applyBorder="1" applyAlignment="1">
      <alignment horizontal="center" vertical="center"/>
    </xf>
    <xf numFmtId="0" fontId="14" fillId="0" borderId="1" xfId="0" applyFont="1" applyBorder="1" applyAlignment="1">
      <alignment horizontal="center" vertical="center"/>
    </xf>
    <xf numFmtId="43" fontId="14" fillId="0" borderId="1" xfId="0" applyNumberFormat="1" applyFont="1" applyBorder="1" applyAlignment="1">
      <alignment horizontal="center" vertical="center"/>
    </xf>
    <xf numFmtId="43" fontId="14" fillId="0" borderId="1" xfId="0" applyNumberFormat="1" applyFont="1" applyBorder="1" applyAlignment="1">
      <alignment horizontal="left" vertical="center"/>
    </xf>
    <xf numFmtId="43" fontId="3" fillId="8" borderId="4" xfId="8" applyNumberFormat="1" applyFont="1" applyFill="1" applyBorder="1" applyAlignment="1" applyProtection="1">
      <alignment horizontal="center" vertical="center" wrapText="1"/>
      <protection hidden="1"/>
    </xf>
    <xf numFmtId="43" fontId="11" fillId="0" borderId="1" xfId="8" applyNumberFormat="1" applyFont="1" applyBorder="1" applyAlignment="1">
      <alignment horizontal="center" vertical="center"/>
    </xf>
    <xf numFmtId="43" fontId="11" fillId="0" borderId="0" xfId="8" applyNumberFormat="1" applyFont="1" applyAlignment="1">
      <alignment horizontal="left"/>
    </xf>
    <xf numFmtId="43" fontId="11" fillId="5" borderId="1" xfId="8" applyNumberFormat="1" applyFont="1" applyFill="1" applyBorder="1" applyAlignment="1">
      <alignment vertical="center"/>
    </xf>
    <xf numFmtId="43" fontId="11" fillId="5" borderId="1" xfId="8" applyNumberFormat="1" applyFont="1" applyFill="1" applyBorder="1" applyAlignment="1">
      <alignment horizontal="left" vertical="center"/>
    </xf>
    <xf numFmtId="0" fontId="11" fillId="5" borderId="19" xfId="0" applyFont="1" applyFill="1" applyBorder="1" applyAlignment="1">
      <alignment horizontal="left" vertical="center"/>
    </xf>
    <xf numFmtId="43" fontId="11" fillId="5" borderId="3" xfId="8" applyNumberFormat="1" applyFont="1" applyFill="1" applyBorder="1" applyAlignment="1">
      <alignment vertical="center"/>
    </xf>
    <xf numFmtId="43" fontId="13" fillId="5" borderId="1" xfId="8" applyNumberFormat="1" applyFont="1" applyFill="1" applyBorder="1" applyAlignment="1">
      <alignment vertical="center"/>
    </xf>
    <xf numFmtId="43" fontId="11" fillId="0" borderId="0" xfId="8" applyNumberFormat="1" applyFont="1"/>
    <xf numFmtId="0" fontId="14" fillId="0" borderId="1" xfId="0" applyFont="1" applyBorder="1"/>
    <xf numFmtId="0" fontId="14" fillId="0" borderId="1" xfId="0" applyFont="1" applyBorder="1" applyAlignment="1">
      <alignment horizontal="left" vertical="center" wrapText="1"/>
    </xf>
    <xf numFmtId="0" fontId="11" fillId="0" borderId="1" xfId="0" applyFont="1" applyBorder="1"/>
    <xf numFmtId="43" fontId="11" fillId="0" borderId="1" xfId="3" applyFont="1" applyBorder="1"/>
    <xf numFmtId="43" fontId="11" fillId="0" borderId="1" xfId="3" applyFont="1" applyBorder="1" applyAlignment="1">
      <alignment horizontal="left"/>
    </xf>
    <xf numFmtId="0" fontId="13" fillId="0" borderId="0" xfId="0" applyFont="1"/>
    <xf numFmtId="0" fontId="11" fillId="0" borderId="1" xfId="3" applyNumberFormat="1" applyFont="1" applyBorder="1" applyAlignment="1">
      <alignment horizontal="center" vertical="center"/>
    </xf>
    <xf numFmtId="43" fontId="0" fillId="0" borderId="0" xfId="8" applyNumberFormat="1" applyFont="1" applyFill="1"/>
    <xf numFmtId="43" fontId="0" fillId="0" borderId="0" xfId="8" applyNumberFormat="1" applyFont="1" applyFill="1" applyAlignment="1">
      <alignment horizontal="right"/>
    </xf>
    <xf numFmtId="43" fontId="32" fillId="0" borderId="0" xfId="8" applyNumberFormat="1" applyFont="1" applyFill="1"/>
    <xf numFmtId="43" fontId="32" fillId="0" borderId="0" xfId="0" applyNumberFormat="1" applyFont="1"/>
    <xf numFmtId="0" fontId="11" fillId="0" borderId="0" xfId="0" applyFont="1" applyBorder="1" applyAlignment="1">
      <alignment horizontal="center" vertical="center" wrapText="1"/>
    </xf>
    <xf numFmtId="43" fontId="11" fillId="0" borderId="0" xfId="3" applyFont="1" applyBorder="1" applyAlignment="1">
      <alignment horizontal="center" vertical="center" wrapText="1"/>
    </xf>
    <xf numFmtId="0" fontId="11" fillId="0" borderId="0" xfId="0" applyFont="1" applyAlignment="1">
      <alignment horizontal="center" vertical="center" wrapText="1"/>
    </xf>
    <xf numFmtId="0" fontId="0" fillId="0" borderId="0" xfId="0" pivotButton="1" applyAlignment="1">
      <alignment horizontal="center" vertical="center" wrapText="1"/>
    </xf>
    <xf numFmtId="43" fontId="0" fillId="0" borderId="0" xfId="8" applyNumberFormat="1" applyFont="1" applyAlignment="1">
      <alignment horizontal="center" vertical="center" wrapText="1"/>
    </xf>
    <xf numFmtId="0" fontId="11" fillId="5" borderId="0" xfId="3" applyNumberFormat="1" applyFont="1" applyFill="1" applyAlignment="1">
      <alignment horizontal="center" vertical="center"/>
    </xf>
    <xf numFmtId="0" fontId="11" fillId="5" borderId="0" xfId="3" applyNumberFormat="1" applyFont="1" applyFill="1" applyAlignment="1">
      <alignment horizontal="center" vertical="center" wrapText="1"/>
    </xf>
    <xf numFmtId="43" fontId="11" fillId="16" borderId="0" xfId="0" applyNumberFormat="1" applyFont="1" applyFill="1" applyAlignment="1">
      <alignment horizontal="center" vertical="center" wrapText="1"/>
    </xf>
    <xf numFmtId="43" fontId="11" fillId="16" borderId="1" xfId="0" applyNumberFormat="1" applyFont="1" applyFill="1" applyBorder="1" applyAlignment="1">
      <alignment vertical="center"/>
    </xf>
    <xf numFmtId="0" fontId="0" fillId="0" borderId="6" xfId="0" applyBorder="1" applyAlignment="1">
      <alignment horizontal="center"/>
    </xf>
    <xf numFmtId="0" fontId="0" fillId="0" borderId="5" xfId="0" applyBorder="1" applyAlignment="1">
      <alignment horizontal="center"/>
    </xf>
    <xf numFmtId="0" fontId="22" fillId="5" borderId="0" xfId="0" applyFont="1" applyFill="1" applyAlignment="1">
      <alignment horizontal="center" vertical="center"/>
    </xf>
    <xf numFmtId="0" fontId="14" fillId="5" borderId="1" xfId="0" applyFont="1" applyFill="1" applyBorder="1" applyAlignment="1">
      <alignment horizontal="center" vertical="center"/>
    </xf>
    <xf numFmtId="43" fontId="26" fillId="0" borderId="34" xfId="0" applyNumberFormat="1" applyFont="1" applyBorder="1" applyAlignment="1">
      <alignment horizontal="center" vertical="center"/>
    </xf>
    <xf numFmtId="43" fontId="26" fillId="0" borderId="35" xfId="0" applyNumberFormat="1" applyFont="1" applyBorder="1" applyAlignment="1">
      <alignment horizontal="center" vertical="center"/>
    </xf>
    <xf numFmtId="43" fontId="26" fillId="0" borderId="28" xfId="0" applyNumberFormat="1" applyFont="1" applyBorder="1" applyAlignment="1">
      <alignment horizontal="center" vertical="center"/>
    </xf>
    <xf numFmtId="0" fontId="26" fillId="0" borderId="28" xfId="0" applyFont="1" applyBorder="1" applyAlignment="1">
      <alignment horizontal="center" vertical="center"/>
    </xf>
    <xf numFmtId="0" fontId="28" fillId="0" borderId="24" xfId="0" applyFont="1" applyBorder="1" applyAlignment="1" applyProtection="1">
      <alignment horizontal="center" vertical="center" wrapText="1"/>
      <protection hidden="1"/>
    </xf>
    <xf numFmtId="0" fontId="28" fillId="0" borderId="25" xfId="0" applyFont="1" applyBorder="1" applyAlignment="1" applyProtection="1">
      <alignment horizontal="center" vertical="center" wrapText="1"/>
      <protection hidden="1"/>
    </xf>
    <xf numFmtId="0" fontId="29" fillId="0" borderId="1" xfId="0" applyFont="1" applyBorder="1" applyAlignment="1">
      <alignment horizontal="center"/>
    </xf>
    <xf numFmtId="0" fontId="3" fillId="2" borderId="1" xfId="0" applyFont="1" applyFill="1" applyBorder="1" applyAlignment="1" applyProtection="1">
      <alignment horizontal="center" vertical="center" wrapText="1" readingOrder="1"/>
      <protection locked="0"/>
    </xf>
  </cellXfs>
  <cellStyles count="9">
    <cellStyle name="Millares" xfId="3" builtinId="3"/>
    <cellStyle name="Millares [0]" xfId="4" builtinId="6"/>
    <cellStyle name="Moneda" xfId="8" builtinId="4"/>
    <cellStyle name="Normal" xfId="0" builtinId="0"/>
    <cellStyle name="Normal 10 2" xfId="2"/>
    <cellStyle name="Normal 2" xfId="6"/>
    <cellStyle name="Normal 2 2" xfId="1"/>
    <cellStyle name="Normal 2 5" xfId="5"/>
    <cellStyle name="Porcentaje" xfId="7" builtinId="5"/>
  </cellStyles>
  <dxfs count="92">
    <dxf>
      <alignment vertical="center"/>
    </dxf>
    <dxf>
      <alignment vertical="center"/>
    </dxf>
    <dxf>
      <alignment horizontal="center"/>
    </dxf>
    <dxf>
      <alignment horizontal="center"/>
    </dxf>
    <dxf>
      <alignment wrapText="1"/>
    </dxf>
    <dxf>
      <alignment wrapText="1"/>
    </dxf>
    <dxf>
      <numFmt numFmtId="35" formatCode="_-* #,##0.00_-;\-* #,##0.00_-;_-* &quot;-&quot;??_-;_-@_-"/>
    </dxf>
    <dxf>
      <numFmt numFmtId="35" formatCode="_-* #,##0.00_-;\-* #,##0.00_-;_-* &quot;-&quot;??_-;_-@_-"/>
    </dxf>
    <dxf>
      <font>
        <color theme="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B0F0"/>
      </font>
      <fill>
        <patternFill>
          <bgColor rgb="FF00B050"/>
        </patternFill>
      </fill>
    </dxf>
    <dxf>
      <font>
        <color rgb="FF00B0F0"/>
      </font>
      <fill>
        <patternFill>
          <bgColor rgb="FF00B050"/>
        </patternFill>
      </fill>
    </dxf>
    <dxf>
      <font>
        <color theme="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Maria Yenifer Prada Peña" refreshedDate="45519.810240162034" createdVersion="8" refreshedVersion="8" minRefreshableVersion="3" recordCount="129">
  <cacheSource type="worksheet">
    <worksheetSource ref="AK1:BJ130" sheet="INSUMOS Y MAQUINARIA"/>
  </cacheSource>
  <cacheFields count="26">
    <cacheField name="SEDE 1 - MANZANA LIEVANO - ALCALDÍA MAYOR" numFmtId="43">
      <sharedItems containsSemiMixedTypes="0" containsString="0" containsNumber="1" containsInteger="1" minValue="0" maxValue="5439282"/>
    </cacheField>
    <cacheField name="SEDE 2- DIRECCIÓN DISTRITAL DE ARCHIVO DE  BOGOTA " numFmtId="43">
      <sharedItems containsSemiMixedTypes="0" containsString="0" containsNumber="1" containsInteger="1" minValue="0" maxValue="483492"/>
    </cacheField>
    <cacheField name="SEDE 3 - IMPRENTA DISTRITAL" numFmtId="43">
      <sharedItems containsSemiMixedTypes="0" containsString="0" containsNumber="1" containsInteger="1" minValue="0" maxValue="483492"/>
    </cacheField>
    <cacheField name="SEDE 4 - SEDE ALTERNA RESTREPO " numFmtId="43">
      <sharedItems containsSemiMixedTypes="0" containsString="0" containsNumber="1" containsInteger="1" minValue="0" maxValue="212572"/>
    </cacheField>
    <cacheField name="SEDE 5 - SUPERCADE CAD CARRERA " numFmtId="43">
      <sharedItems containsSemiMixedTypes="0" containsString="0" containsNumber="1" containsInteger="1" minValue="0" maxValue="441285"/>
    </cacheField>
    <cacheField name="SEDE 6 - SUPERCADE AMERICAS " numFmtId="43">
      <sharedItems containsSemiMixedTypes="0" containsString="0" containsNumber="1" containsInteger="1" minValue="0" maxValue="212572"/>
    </cacheField>
    <cacheField name="SEDE 7 - SUPERCADE BOSA " numFmtId="43">
      <sharedItems containsSemiMixedTypes="0" containsString="0" containsNumber="1" containsInteger="1" minValue="0" maxValue="604365"/>
    </cacheField>
    <cacheField name="SEDE 8 - SUPERCADE CALLE 13 " numFmtId="43">
      <sharedItems containsSemiMixedTypes="0" containsString="0" containsNumber="1" containsInteger="1" minValue="0" maxValue="212572"/>
    </cacheField>
    <cacheField name="SEDE 9 - SUPERCADE 20 DE JULIO " numFmtId="43">
      <sharedItems containsSemiMixedTypes="0" containsString="0" containsNumber="1" containsInteger="1" minValue="0" maxValue="604365"/>
    </cacheField>
    <cacheField name="SEDE 10 - SUPERCADE MANITAS " numFmtId="43">
      <sharedItems containsSemiMixedTypes="0" containsString="0" containsNumber="1" containsInteger="1" minValue="0" maxValue="441285"/>
    </cacheField>
    <cacheField name="SEDE 11 - SUPERCADE SUBA " numFmtId="43">
      <sharedItems containsSemiMixedTypes="0" containsString="0" containsNumber="1" containsInteger="1" minValue="0" maxValue="725238"/>
    </cacheField>
    <cacheField name="SEDE 12 - SUPERCADE SOCIAL" numFmtId="43">
      <sharedItems containsSemiMixedTypes="0" containsString="0" containsNumber="1" containsInteger="1" minValue="0" maxValue="212572"/>
    </cacheField>
    <cacheField name="SEDE 13 - CADE SERVITA " numFmtId="43">
      <sharedItems containsSemiMixedTypes="0" containsString="0" containsNumber="1" containsInteger="1" minValue="0" maxValue="241746"/>
    </cacheField>
    <cacheField name="SEDE 14 - CADE LA VICTORIA " numFmtId="43">
      <sharedItems containsSemiMixedTypes="0" containsString="0" containsNumber="1" containsInteger="1" minValue="0" maxValue="212572"/>
    </cacheField>
    <cacheField name="SEDE 15 - CADE LA GAITANA " numFmtId="43">
      <sharedItems containsSemiMixedTypes="0" containsString="0" containsNumber="1" containsInteger="1" minValue="0" maxValue="362619"/>
    </cacheField>
    <cacheField name="SEDE 16 - SUPERCADE ENGATIVA " numFmtId="43">
      <sharedItems containsSemiMixedTypes="0" containsString="0" containsNumber="1" containsInteger="1" minValue="0" maxValue="441285"/>
    </cacheField>
    <cacheField name="SEDE 17 - CADE LOS LUCEROS " numFmtId="43">
      <sharedItems containsSemiMixedTypes="0" containsString="0" containsNumber="1" containsInteger="1" minValue="0" maxValue="212572"/>
    </cacheField>
    <cacheField name="SEDE 18 - CENTRO DE MEMORIA, PAZ Y RECONCILIACIÓN " numFmtId="43">
      <sharedItems containsSemiMixedTypes="0" containsString="0" containsNumber="1" containsInteger="1" minValue="0" maxValue="241746"/>
    </cacheField>
    <cacheField name="SEDE 19 - CENTRO DE ENCUENTRO BOSA " numFmtId="43">
      <sharedItems containsSemiMixedTypes="0" containsString="0" containsNumber="1" containsInteger="1" minValue="0" maxValue="212572"/>
    </cacheField>
    <cacheField name="SEDE 20 - CENTRO DE ENCUENTRO CHAPINERO " numFmtId="43">
      <sharedItems containsSemiMixedTypes="0" containsString="0" containsNumber="1" containsInteger="1" minValue="0" maxValue="725238"/>
    </cacheField>
    <cacheField name="SEDE 21 - CENTRO DE ENCUENTRO CIUDAD BOLIVAR " numFmtId="43">
      <sharedItems containsSemiMixedTypes="0" containsString="0" containsNumber="1" containsInteger="1" minValue="0" maxValue="212572"/>
    </cacheField>
    <cacheField name="SEDE 22 - CENTRO DE ENCUENTRO KENNEDY PATIO BONITO " numFmtId="43">
      <sharedItems containsSemiMixedTypes="0" containsString="0" containsNumber="1" containsInteger="1" minValue="0" maxValue="212572"/>
    </cacheField>
    <cacheField name="SEDE 23 - CENTRO DE ENCUENTRO RAFAEL URIBE " numFmtId="43">
      <sharedItems containsSemiMixedTypes="0" containsString="0" containsNumber="1" containsInteger="1" minValue="0" maxValue="220643"/>
    </cacheField>
    <cacheField name="SEDE 24 - CENTRO DE ENCUENTRO SUBA " numFmtId="43">
      <sharedItems containsSemiMixedTypes="0" containsString="0" containsNumber="1" containsInteger="1" minValue="0" maxValue="251623"/>
    </cacheField>
    <cacheField name="SEDE 25 - SEDE ALTERNA TEQUENDAMA" numFmtId="43">
      <sharedItems containsSemiMixedTypes="0" containsString="0" containsNumber="1" containsInteger="1" minValue="0" maxValue="303122"/>
    </cacheField>
    <cacheField name="RUBRO" numFmtId="0">
      <sharedItems count="42">
        <s v="O2120201003053532103 Jabones líquidos para lavar"/>
        <s v="O2120201003053532101 Jabones en pasta para lavar"/>
        <s v="O2120201003053532104 Jabones industriales"/>
        <s v="O2120201003053532105 Jabones de tocador"/>
        <s v="O2120201003043466401 Desinfectantes"/>
        <s v="O2120201003033335004 Varsol-disolvente núm. 4"/>
        <s v="O2120201003053532201 Detergentes en polvo"/>
        <s v="O2120201003053532204 Preparaciones para limpiar vidrios"/>
        <s v="O2120201003043424014 Hipoclorito de sodio"/>
        <s v="O2120201003053533202 Ceras para pisos"/>
        <s v="O2120201003053549945 Productos químicos especiales para tratamiento de pisos"/>
        <s v="O2120201003053533102 Purificadores líquidos de ambiente"/>
        <s v="O2120201003033335001 Solventes para insecticida"/>
        <s v="O2120201002072792104 Fieltros de algodón"/>
        <s v="O2120201002072719009 Paños absorbentes desechables para uso doméstico"/>
        <s v="O2120201004024291231 Esponjas y esponjillas metálicas"/>
        <s v="O2120201003083899302 Escobas"/>
        <s v="O2120201004024299201 Mangos metálicos"/>
        <s v="O2120201003083899303 Cepillos para lavar o fregar"/>
        <s v="O2120201002072732007 Mechas para trapero"/>
        <s v="O2120201003063641001 Bolsas de material plástico sin impresión"/>
        <s v="O2120201002082823803 Guantes de fibras artificiales y sintéticas"/>
        <s v="O2120201003023213101 Papel del tipo utilizado para papel higiénico"/>
        <s v="O2120201003023219304 Toallas de papel"/>
        <s v="O2120201003023219303 Pañuelos de papel"/>
        <s v="O2120201003023219907 Vasos de papel o cartón"/>
        <s v="O2120201003013191409 Aplicadores, bajalenguas y otros para usos higiénicos, de madera"/>
        <s v="O2120201003023213102 Papel para servilletas, toallas y similares"/>
        <s v="O2120201002072719007 Filtros de material textil, para usos técnicos e industriales"/>
        <s v="O2120201003073719199 Envases n.c.p. de vidrio"/>
        <s v="O2120201002032381302 Café molido"/>
        <s v="O2120201002032382103 Café instantáneo aglomerado o atomizado"/>
        <s v="O2120201002032352001 Azúcar refinada"/>
        <s v="O2120201002032399921 Productos aromáticos diversos"/>
        <s v="O2120201002032391101 Té elaborado"/>
        <s v="O2120201002042441001 Agua purificada (envasada)"/>
        <s v="O2120201003063694016 Recogedores plásticos de basura"/>
        <s v="O21202020070373122 Servicios de arrendamiento o de alquiler de maquinaria y equipo de construcción sin operario"/>
        <s v="O2120201003073719305 Vasos y jarros de vidrio"/>
        <s v="O2120201003073722101 Vajillas de loza-pedernal"/>
        <s v="O2120201003063694012 Recipientes de material plástico-canecas para la basura"/>
        <s v="O21202020070373230 Servicios de arrendamiento sin opción de compra de muebles y otros aparatos doméstico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29">
  <r>
    <n v="395919"/>
    <n v="8798"/>
    <n v="8798"/>
    <n v="0"/>
    <n v="8798"/>
    <n v="0"/>
    <n v="26395"/>
    <n v="0"/>
    <n v="17596"/>
    <n v="26395"/>
    <n v="26395"/>
    <n v="0"/>
    <n v="0"/>
    <n v="0"/>
    <n v="0"/>
    <n v="17596"/>
    <n v="26395"/>
    <n v="35193"/>
    <n v="0"/>
    <n v="0"/>
    <n v="0"/>
    <n v="0"/>
    <n v="26395"/>
    <n v="0"/>
    <n v="0"/>
    <x v="0"/>
  </r>
  <r>
    <n v="17560"/>
    <n v="1756"/>
    <n v="1756"/>
    <n v="0"/>
    <n v="1756"/>
    <n v="5268"/>
    <n v="5268"/>
    <n v="0"/>
    <n v="5268"/>
    <n v="5268"/>
    <n v="3512"/>
    <n v="0"/>
    <n v="5268"/>
    <n v="0"/>
    <n v="0"/>
    <n v="0"/>
    <n v="5268"/>
    <n v="0"/>
    <n v="0"/>
    <n v="3512"/>
    <n v="0"/>
    <n v="0"/>
    <n v="5268"/>
    <n v="0"/>
    <n v="5268"/>
    <x v="1"/>
  </r>
  <r>
    <n v="11988"/>
    <n v="2398"/>
    <n v="0"/>
    <n v="0"/>
    <n v="0"/>
    <n v="0"/>
    <n v="0"/>
    <n v="0"/>
    <n v="0"/>
    <n v="7193"/>
    <n v="0"/>
    <n v="7193"/>
    <n v="4795"/>
    <n v="0"/>
    <n v="0"/>
    <n v="0"/>
    <n v="7193"/>
    <n v="0"/>
    <n v="0"/>
    <n v="0"/>
    <n v="0"/>
    <n v="0"/>
    <n v="0"/>
    <n v="0"/>
    <n v="0"/>
    <x v="2"/>
  </r>
  <r>
    <n v="69996"/>
    <n v="4200"/>
    <n v="1400"/>
    <n v="0"/>
    <n v="0"/>
    <n v="0"/>
    <n v="4200"/>
    <n v="0"/>
    <n v="4200"/>
    <n v="4200"/>
    <n v="4200"/>
    <n v="0"/>
    <n v="0"/>
    <n v="0"/>
    <n v="0"/>
    <n v="0"/>
    <n v="4200"/>
    <n v="0"/>
    <n v="0"/>
    <n v="0"/>
    <n v="0"/>
    <n v="0"/>
    <n v="2800"/>
    <n v="0"/>
    <n v="0"/>
    <x v="3"/>
  </r>
  <r>
    <n v="91971"/>
    <n v="0"/>
    <n v="5109"/>
    <n v="0"/>
    <n v="0"/>
    <n v="0"/>
    <n v="0"/>
    <n v="0"/>
    <n v="0"/>
    <n v="0"/>
    <n v="40876"/>
    <n v="0"/>
    <n v="20438"/>
    <n v="0"/>
    <n v="15328"/>
    <n v="0"/>
    <n v="20438"/>
    <n v="10219"/>
    <n v="0"/>
    <n v="0"/>
    <n v="0"/>
    <n v="0"/>
    <n v="10219"/>
    <n v="0"/>
    <n v="0"/>
    <x v="4"/>
  </r>
  <r>
    <n v="293472"/>
    <n v="6522"/>
    <n v="6522"/>
    <n v="0"/>
    <n v="0"/>
    <n v="0"/>
    <n v="0"/>
    <n v="0"/>
    <n v="19565"/>
    <n v="0"/>
    <n v="0"/>
    <n v="0"/>
    <n v="0"/>
    <n v="0"/>
    <n v="0"/>
    <n v="19565"/>
    <n v="19565"/>
    <n v="26086"/>
    <n v="0"/>
    <n v="0"/>
    <n v="0"/>
    <n v="0"/>
    <n v="0"/>
    <n v="0"/>
    <n v="0"/>
    <x v="5"/>
  </r>
  <r>
    <n v="19906"/>
    <n v="0"/>
    <n v="0"/>
    <n v="0"/>
    <n v="0"/>
    <n v="0"/>
    <n v="11944"/>
    <n v="0"/>
    <n v="11944"/>
    <n v="11944"/>
    <n v="0"/>
    <n v="11944"/>
    <n v="11944"/>
    <n v="0"/>
    <n v="0"/>
    <n v="0"/>
    <n v="11944"/>
    <n v="11944"/>
    <n v="0"/>
    <n v="0"/>
    <n v="0"/>
    <n v="0"/>
    <n v="7962"/>
    <n v="0"/>
    <n v="0"/>
    <x v="6"/>
  </r>
  <r>
    <n v="210065"/>
    <n v="4668"/>
    <n v="4668"/>
    <n v="0"/>
    <n v="0"/>
    <n v="0"/>
    <n v="37345"/>
    <n v="0"/>
    <n v="37345"/>
    <n v="0"/>
    <n v="0"/>
    <n v="37345"/>
    <n v="18672"/>
    <n v="0"/>
    <n v="0"/>
    <n v="37345"/>
    <n v="18672"/>
    <n v="9336"/>
    <n v="0"/>
    <n v="18672"/>
    <n v="0"/>
    <n v="0"/>
    <n v="0"/>
    <n v="0"/>
    <n v="0"/>
    <x v="4"/>
  </r>
  <r>
    <n v="0"/>
    <n v="0"/>
    <n v="0"/>
    <n v="0"/>
    <n v="0"/>
    <n v="0"/>
    <n v="0"/>
    <n v="0"/>
    <n v="17520"/>
    <n v="0"/>
    <n v="0"/>
    <n v="29200"/>
    <n v="29200"/>
    <n v="29200"/>
    <n v="26280"/>
    <n v="0"/>
    <n v="58399"/>
    <n v="17520"/>
    <n v="116799"/>
    <n v="29200"/>
    <n v="87599"/>
    <n v="0"/>
    <n v="29200"/>
    <n v="72999"/>
    <n v="87599"/>
    <x v="4"/>
  </r>
  <r>
    <n v="178645"/>
    <n v="19849"/>
    <n v="0"/>
    <n v="0"/>
    <n v="0"/>
    <n v="0"/>
    <n v="19849"/>
    <n v="0"/>
    <n v="19849"/>
    <n v="19849"/>
    <n v="19849"/>
    <n v="0"/>
    <n v="0"/>
    <n v="0"/>
    <n v="11910"/>
    <n v="0"/>
    <n v="0"/>
    <n v="0"/>
    <n v="0"/>
    <n v="0"/>
    <n v="0"/>
    <n v="0"/>
    <n v="0"/>
    <n v="0"/>
    <n v="0"/>
    <x v="7"/>
  </r>
  <r>
    <n v="216803"/>
    <n v="19271"/>
    <n v="19271"/>
    <n v="0"/>
    <n v="9636"/>
    <n v="19271"/>
    <n v="19271"/>
    <n v="19271"/>
    <n v="38543"/>
    <n v="19271"/>
    <n v="19271"/>
    <n v="19271"/>
    <n v="19271"/>
    <n v="0"/>
    <n v="19271"/>
    <n v="19271"/>
    <n v="19271"/>
    <n v="38543"/>
    <n v="0"/>
    <n v="0"/>
    <n v="0"/>
    <n v="0"/>
    <n v="14454"/>
    <n v="0"/>
    <n v="28907"/>
    <x v="8"/>
  </r>
  <r>
    <n v="671296"/>
    <n v="134259"/>
    <n v="0"/>
    <n v="0"/>
    <n v="0"/>
    <n v="0"/>
    <n v="0"/>
    <n v="83912"/>
    <n v="0"/>
    <n v="134259"/>
    <n v="0"/>
    <n v="67130"/>
    <n v="0"/>
    <n v="0"/>
    <n v="0"/>
    <n v="0"/>
    <n v="67130"/>
    <n v="67130"/>
    <n v="0"/>
    <n v="50347"/>
    <n v="0"/>
    <n v="0"/>
    <n v="0"/>
    <n v="0"/>
    <n v="0"/>
    <x v="9"/>
  </r>
  <r>
    <n v="874631"/>
    <n v="145772"/>
    <n v="58309"/>
    <n v="0"/>
    <n v="0"/>
    <n v="0"/>
    <n v="0"/>
    <n v="0"/>
    <n v="58309"/>
    <n v="58309"/>
    <n v="0"/>
    <n v="116617"/>
    <n v="0"/>
    <n v="145772"/>
    <n v="58309"/>
    <n v="58309"/>
    <n v="58309"/>
    <n v="116617"/>
    <n v="0"/>
    <n v="29154"/>
    <n v="0"/>
    <n v="0"/>
    <n v="0"/>
    <n v="0"/>
    <n v="29154"/>
    <x v="10"/>
  </r>
  <r>
    <n v="719204"/>
    <n v="47947"/>
    <n v="15982"/>
    <n v="0"/>
    <n v="0"/>
    <n v="0"/>
    <n v="0"/>
    <n v="0"/>
    <n v="0"/>
    <n v="47947"/>
    <n v="0"/>
    <n v="63929"/>
    <n v="0"/>
    <n v="79912"/>
    <n v="47947"/>
    <n v="47947"/>
    <n v="47947"/>
    <n v="31965"/>
    <n v="0"/>
    <n v="0"/>
    <n v="0"/>
    <n v="0"/>
    <n v="0"/>
    <n v="0"/>
    <n v="0"/>
    <x v="9"/>
  </r>
  <r>
    <n v="362327"/>
    <n v="0"/>
    <n v="13176"/>
    <n v="0"/>
    <n v="0"/>
    <n v="0"/>
    <n v="13176"/>
    <n v="13176"/>
    <n v="13176"/>
    <n v="13176"/>
    <n v="13176"/>
    <n v="13176"/>
    <n v="0"/>
    <n v="0"/>
    <n v="13176"/>
    <n v="13176"/>
    <n v="13176"/>
    <n v="13176"/>
    <n v="0"/>
    <n v="0"/>
    <n v="0"/>
    <n v="0"/>
    <n v="0"/>
    <n v="0"/>
    <n v="0"/>
    <x v="10"/>
  </r>
  <r>
    <n v="129265"/>
    <n v="19390"/>
    <n v="0"/>
    <n v="0"/>
    <n v="0"/>
    <n v="0"/>
    <n v="0"/>
    <n v="0"/>
    <n v="19390"/>
    <n v="19390"/>
    <n v="19390"/>
    <n v="0"/>
    <n v="19390"/>
    <n v="0"/>
    <n v="19390"/>
    <n v="0"/>
    <n v="19390"/>
    <n v="38780"/>
    <n v="0"/>
    <n v="0"/>
    <n v="0"/>
    <n v="0"/>
    <n v="12927"/>
    <n v="0"/>
    <n v="12927"/>
    <x v="10"/>
  </r>
  <r>
    <n v="0"/>
    <n v="0"/>
    <n v="0"/>
    <n v="0"/>
    <n v="28334"/>
    <n v="42501"/>
    <n v="0"/>
    <n v="0"/>
    <n v="42501"/>
    <n v="0"/>
    <n v="0"/>
    <n v="0"/>
    <n v="0"/>
    <n v="0"/>
    <n v="0"/>
    <n v="0"/>
    <n v="42501"/>
    <n v="0"/>
    <n v="0"/>
    <n v="0"/>
    <n v="0"/>
    <n v="0"/>
    <n v="0"/>
    <n v="0"/>
    <n v="0"/>
    <x v="5"/>
  </r>
  <r>
    <n v="188800"/>
    <n v="15733"/>
    <n v="15733"/>
    <n v="0"/>
    <n v="0"/>
    <n v="0"/>
    <n v="31467"/>
    <n v="0"/>
    <n v="10489"/>
    <n v="15733"/>
    <n v="15733"/>
    <n v="15733"/>
    <n v="15733"/>
    <n v="0"/>
    <n v="15733"/>
    <n v="0"/>
    <n v="15733"/>
    <n v="31467"/>
    <n v="0"/>
    <n v="31467"/>
    <n v="0"/>
    <n v="0"/>
    <n v="10489"/>
    <n v="0"/>
    <n v="10489"/>
    <x v="11"/>
  </r>
  <r>
    <n v="69952"/>
    <n v="0"/>
    <n v="13990"/>
    <n v="0"/>
    <n v="0"/>
    <n v="0"/>
    <n v="0"/>
    <n v="0"/>
    <n v="13990"/>
    <n v="13990"/>
    <n v="13990"/>
    <n v="41971"/>
    <n v="13990"/>
    <n v="13990"/>
    <n v="13990"/>
    <n v="13990"/>
    <n v="13990"/>
    <n v="0"/>
    <n v="0"/>
    <n v="104928"/>
    <n v="0"/>
    <n v="0"/>
    <n v="0"/>
    <n v="0"/>
    <n v="0"/>
    <x v="11"/>
  </r>
  <r>
    <n v="44126"/>
    <n v="0"/>
    <n v="0"/>
    <n v="0"/>
    <n v="0"/>
    <n v="0"/>
    <n v="0"/>
    <n v="0"/>
    <n v="0"/>
    <n v="0"/>
    <n v="0"/>
    <n v="0"/>
    <n v="0"/>
    <n v="0"/>
    <n v="0"/>
    <n v="0"/>
    <n v="0"/>
    <n v="0"/>
    <n v="0"/>
    <n v="0"/>
    <n v="0"/>
    <n v="0"/>
    <n v="0"/>
    <n v="0"/>
    <n v="0"/>
    <x v="12"/>
  </r>
  <r>
    <n v="100649"/>
    <n v="0"/>
    <n v="0"/>
    <n v="0"/>
    <n v="0"/>
    <n v="0"/>
    <n v="0"/>
    <n v="0"/>
    <n v="0"/>
    <n v="0"/>
    <n v="0"/>
    <n v="0"/>
    <n v="30195"/>
    <n v="0"/>
    <n v="30195"/>
    <n v="0"/>
    <n v="0"/>
    <n v="0"/>
    <n v="0"/>
    <n v="0"/>
    <n v="0"/>
    <n v="90584"/>
    <n v="0"/>
    <n v="251623"/>
    <n v="20130"/>
    <x v="12"/>
  </r>
  <r>
    <n v="34851"/>
    <n v="4647"/>
    <n v="0"/>
    <n v="0"/>
    <n v="0"/>
    <n v="4647"/>
    <n v="4647"/>
    <n v="0"/>
    <n v="4647"/>
    <n v="4647"/>
    <n v="4647"/>
    <n v="4647"/>
    <n v="2323"/>
    <n v="0"/>
    <n v="4647"/>
    <n v="0"/>
    <n v="4647"/>
    <n v="5809"/>
    <n v="0"/>
    <n v="0"/>
    <n v="0"/>
    <n v="0"/>
    <n v="0"/>
    <n v="0"/>
    <n v="0"/>
    <x v="13"/>
  </r>
  <r>
    <n v="28695"/>
    <n v="2869"/>
    <n v="0"/>
    <n v="0"/>
    <n v="0"/>
    <n v="0"/>
    <n v="0"/>
    <n v="0"/>
    <n v="2869"/>
    <n v="2869"/>
    <n v="2869"/>
    <n v="0"/>
    <n v="2869"/>
    <n v="0"/>
    <n v="2869"/>
    <n v="0"/>
    <n v="2869"/>
    <n v="0"/>
    <n v="0"/>
    <n v="0"/>
    <n v="0"/>
    <n v="0"/>
    <n v="0"/>
    <n v="0"/>
    <n v="0"/>
    <x v="13"/>
  </r>
  <r>
    <n v="0"/>
    <n v="0"/>
    <n v="0"/>
    <n v="0"/>
    <n v="0"/>
    <n v="0"/>
    <n v="0"/>
    <n v="0"/>
    <n v="0"/>
    <n v="0"/>
    <n v="0"/>
    <n v="0"/>
    <n v="0"/>
    <n v="0"/>
    <n v="0"/>
    <n v="0"/>
    <n v="0"/>
    <n v="0"/>
    <n v="0"/>
    <n v="0"/>
    <n v="0"/>
    <n v="0"/>
    <n v="0"/>
    <n v="0"/>
    <n v="4304"/>
    <x v="13"/>
  </r>
  <r>
    <n v="5809"/>
    <n v="0"/>
    <n v="0"/>
    <n v="0"/>
    <n v="0"/>
    <n v="0"/>
    <n v="0"/>
    <n v="0"/>
    <n v="0"/>
    <n v="0"/>
    <n v="0"/>
    <n v="0"/>
    <n v="0"/>
    <n v="0"/>
    <n v="0"/>
    <n v="0"/>
    <n v="0"/>
    <n v="0"/>
    <n v="0"/>
    <n v="0"/>
    <n v="0"/>
    <n v="0"/>
    <n v="0"/>
    <n v="0"/>
    <n v="0"/>
    <x v="13"/>
  </r>
  <r>
    <n v="0"/>
    <n v="0"/>
    <n v="0"/>
    <n v="0"/>
    <n v="0"/>
    <n v="0"/>
    <n v="0"/>
    <n v="0"/>
    <n v="0"/>
    <n v="0"/>
    <n v="0"/>
    <n v="0"/>
    <n v="0"/>
    <n v="0"/>
    <n v="0"/>
    <n v="0"/>
    <n v="0"/>
    <n v="0"/>
    <n v="0"/>
    <n v="0"/>
    <n v="0"/>
    <n v="0"/>
    <n v="0"/>
    <n v="0"/>
    <n v="0"/>
    <x v="13"/>
  </r>
  <r>
    <n v="40352"/>
    <n v="10760"/>
    <n v="1345"/>
    <n v="0"/>
    <n v="16141"/>
    <n v="10760"/>
    <n v="0"/>
    <n v="0"/>
    <n v="2690"/>
    <n v="0"/>
    <n v="10760"/>
    <n v="0"/>
    <n v="5380"/>
    <n v="0"/>
    <n v="5380"/>
    <n v="0"/>
    <n v="5380"/>
    <n v="0"/>
    <n v="0"/>
    <n v="0"/>
    <n v="0"/>
    <n v="0"/>
    <n v="2690"/>
    <n v="0"/>
    <n v="0"/>
    <x v="13"/>
  </r>
  <r>
    <n v="21521"/>
    <n v="7174"/>
    <n v="1435"/>
    <n v="0"/>
    <n v="0"/>
    <n v="11478"/>
    <n v="0"/>
    <n v="0"/>
    <n v="2869"/>
    <n v="0"/>
    <n v="0"/>
    <n v="0"/>
    <n v="0"/>
    <n v="0"/>
    <n v="5739"/>
    <n v="0"/>
    <n v="5739"/>
    <n v="0"/>
    <n v="0"/>
    <n v="0"/>
    <n v="0"/>
    <n v="0"/>
    <n v="0"/>
    <n v="0"/>
    <n v="0"/>
    <x v="13"/>
  </r>
  <r>
    <n v="25143"/>
    <n v="5029"/>
    <n v="1257"/>
    <n v="0"/>
    <n v="3771"/>
    <n v="0"/>
    <n v="10057"/>
    <n v="0"/>
    <n v="0"/>
    <n v="0"/>
    <n v="0"/>
    <n v="0"/>
    <n v="5029"/>
    <n v="5029"/>
    <n v="5029"/>
    <n v="0"/>
    <n v="5029"/>
    <n v="6286"/>
    <n v="0"/>
    <n v="3771"/>
    <n v="0"/>
    <n v="0"/>
    <n v="5029"/>
    <n v="0"/>
    <n v="3771"/>
    <x v="14"/>
  </r>
  <r>
    <n v="17231"/>
    <n v="0"/>
    <n v="0"/>
    <n v="0"/>
    <n v="0"/>
    <n v="0"/>
    <n v="0"/>
    <n v="0"/>
    <n v="0"/>
    <n v="0"/>
    <n v="0"/>
    <n v="0"/>
    <n v="0"/>
    <n v="0"/>
    <n v="0"/>
    <n v="0"/>
    <n v="0"/>
    <n v="0"/>
    <n v="0"/>
    <n v="0"/>
    <n v="0"/>
    <n v="0"/>
    <n v="0"/>
    <n v="0"/>
    <n v="3446"/>
    <x v="14"/>
  </r>
  <r>
    <n v="12054"/>
    <n v="0"/>
    <n v="603"/>
    <n v="0"/>
    <n v="0"/>
    <n v="0"/>
    <n v="4821"/>
    <n v="0"/>
    <n v="2411"/>
    <n v="0"/>
    <n v="0"/>
    <n v="0"/>
    <n v="2411"/>
    <n v="0"/>
    <n v="2411"/>
    <n v="0"/>
    <n v="0"/>
    <n v="2411"/>
    <n v="0"/>
    <n v="0"/>
    <n v="0"/>
    <n v="0"/>
    <n v="0"/>
    <n v="0"/>
    <n v="0"/>
    <x v="15"/>
  </r>
  <r>
    <n v="7578"/>
    <n v="505"/>
    <n v="0"/>
    <n v="0"/>
    <n v="0"/>
    <n v="0"/>
    <n v="0"/>
    <n v="0"/>
    <n v="505"/>
    <n v="0"/>
    <n v="505"/>
    <n v="0"/>
    <n v="505"/>
    <n v="0"/>
    <n v="505"/>
    <n v="0"/>
    <n v="0"/>
    <n v="0"/>
    <n v="0"/>
    <n v="0"/>
    <n v="0"/>
    <n v="0"/>
    <n v="0"/>
    <n v="0"/>
    <n v="1010"/>
    <x v="15"/>
  </r>
  <r>
    <n v="7578"/>
    <n v="0"/>
    <n v="0"/>
    <n v="0"/>
    <n v="253"/>
    <n v="0"/>
    <n v="0"/>
    <n v="0"/>
    <n v="1010"/>
    <n v="0"/>
    <n v="2021"/>
    <n v="1263"/>
    <n v="1010"/>
    <n v="0"/>
    <n v="1010"/>
    <n v="0"/>
    <n v="0"/>
    <n v="0"/>
    <n v="0"/>
    <n v="0"/>
    <n v="0"/>
    <n v="0"/>
    <n v="0"/>
    <n v="0"/>
    <n v="0"/>
    <x v="15"/>
  </r>
  <r>
    <n v="4235"/>
    <n v="1694"/>
    <n v="0"/>
    <n v="0"/>
    <n v="0"/>
    <n v="0"/>
    <n v="0"/>
    <n v="0"/>
    <n v="847"/>
    <n v="0"/>
    <n v="0"/>
    <n v="1694"/>
    <n v="423"/>
    <n v="0"/>
    <n v="0"/>
    <n v="0"/>
    <n v="0"/>
    <n v="0"/>
    <n v="0"/>
    <n v="0"/>
    <n v="0"/>
    <n v="0"/>
    <n v="0"/>
    <n v="0"/>
    <n v="635"/>
    <x v="15"/>
  </r>
  <r>
    <n v="3882"/>
    <n v="388"/>
    <n v="0"/>
    <n v="0"/>
    <n v="194"/>
    <n v="0"/>
    <n v="0"/>
    <n v="0"/>
    <n v="388"/>
    <n v="0"/>
    <n v="388"/>
    <n v="388"/>
    <n v="388"/>
    <n v="0"/>
    <n v="388"/>
    <n v="0"/>
    <n v="0"/>
    <n v="194"/>
    <n v="0"/>
    <n v="0"/>
    <n v="0"/>
    <n v="0"/>
    <n v="0"/>
    <n v="0"/>
    <n v="0"/>
    <x v="15"/>
  </r>
  <r>
    <n v="37958"/>
    <n v="0"/>
    <n v="0"/>
    <n v="0"/>
    <n v="0"/>
    <n v="0"/>
    <n v="15183"/>
    <n v="0"/>
    <n v="0"/>
    <n v="15183"/>
    <n v="0"/>
    <n v="0"/>
    <n v="0"/>
    <n v="0"/>
    <n v="5694"/>
    <n v="0"/>
    <n v="0"/>
    <n v="0"/>
    <n v="0"/>
    <n v="0"/>
    <n v="0"/>
    <n v="0"/>
    <n v="0"/>
    <n v="0"/>
    <n v="3796"/>
    <x v="16"/>
  </r>
  <r>
    <n v="0"/>
    <n v="0"/>
    <n v="0"/>
    <n v="0"/>
    <n v="0"/>
    <n v="0"/>
    <n v="0"/>
    <n v="0"/>
    <n v="0"/>
    <n v="0"/>
    <n v="0"/>
    <n v="0"/>
    <n v="0"/>
    <n v="0"/>
    <n v="4049"/>
    <n v="0"/>
    <n v="0"/>
    <n v="0"/>
    <n v="0"/>
    <n v="0"/>
    <n v="0"/>
    <n v="0"/>
    <n v="0"/>
    <n v="0"/>
    <n v="0"/>
    <x v="16"/>
  </r>
  <r>
    <n v="0"/>
    <n v="0"/>
    <n v="0"/>
    <n v="0"/>
    <n v="0"/>
    <n v="0"/>
    <n v="0"/>
    <n v="0"/>
    <n v="0"/>
    <n v="0"/>
    <n v="0"/>
    <n v="0"/>
    <n v="0"/>
    <n v="0"/>
    <n v="0"/>
    <n v="0"/>
    <n v="0"/>
    <n v="0"/>
    <n v="0"/>
    <n v="0"/>
    <n v="0"/>
    <n v="0"/>
    <n v="0"/>
    <n v="0"/>
    <n v="0"/>
    <x v="16"/>
  </r>
  <r>
    <n v="0"/>
    <n v="0"/>
    <n v="0"/>
    <n v="0"/>
    <n v="0"/>
    <n v="0"/>
    <n v="0"/>
    <n v="0"/>
    <n v="0"/>
    <n v="0"/>
    <n v="0"/>
    <n v="0"/>
    <n v="0"/>
    <n v="0"/>
    <n v="0"/>
    <n v="0"/>
    <n v="0"/>
    <n v="0"/>
    <n v="0"/>
    <n v="0"/>
    <n v="0"/>
    <n v="0"/>
    <n v="0"/>
    <n v="0"/>
    <n v="0"/>
    <x v="16"/>
  </r>
  <r>
    <n v="0"/>
    <n v="0"/>
    <n v="0"/>
    <n v="0"/>
    <n v="0"/>
    <n v="0"/>
    <n v="0"/>
    <n v="0"/>
    <n v="0"/>
    <n v="0"/>
    <n v="0"/>
    <n v="5810"/>
    <n v="0"/>
    <n v="2905"/>
    <n v="0"/>
    <n v="0"/>
    <n v="0"/>
    <n v="0"/>
    <n v="0"/>
    <n v="0"/>
    <n v="0"/>
    <n v="0"/>
    <n v="0"/>
    <n v="0"/>
    <n v="0"/>
    <x v="17"/>
  </r>
  <r>
    <n v="0"/>
    <n v="0"/>
    <n v="0"/>
    <n v="0"/>
    <n v="0"/>
    <n v="0"/>
    <n v="0"/>
    <n v="0"/>
    <n v="0"/>
    <n v="0"/>
    <n v="0"/>
    <n v="0"/>
    <n v="0"/>
    <n v="0"/>
    <n v="0"/>
    <n v="0"/>
    <n v="0"/>
    <n v="5535"/>
    <n v="0"/>
    <n v="0"/>
    <n v="0"/>
    <n v="0"/>
    <n v="0"/>
    <n v="0"/>
    <n v="0"/>
    <x v="18"/>
  </r>
  <r>
    <n v="0"/>
    <n v="0"/>
    <n v="0"/>
    <n v="0"/>
    <n v="0"/>
    <n v="0"/>
    <n v="0"/>
    <n v="0"/>
    <n v="0"/>
    <n v="0"/>
    <n v="0"/>
    <n v="0"/>
    <n v="0"/>
    <n v="0"/>
    <n v="0"/>
    <n v="0"/>
    <n v="0"/>
    <n v="0"/>
    <n v="0"/>
    <n v="0"/>
    <n v="0"/>
    <n v="0"/>
    <n v="0"/>
    <n v="0"/>
    <n v="0"/>
    <x v="18"/>
  </r>
  <r>
    <n v="0"/>
    <n v="0"/>
    <n v="0"/>
    <n v="0"/>
    <n v="0"/>
    <n v="0"/>
    <n v="0"/>
    <n v="0"/>
    <n v="0"/>
    <n v="0"/>
    <n v="0"/>
    <n v="0"/>
    <n v="0"/>
    <n v="0"/>
    <n v="0"/>
    <n v="0"/>
    <n v="0"/>
    <n v="0"/>
    <n v="0"/>
    <n v="0"/>
    <n v="0"/>
    <n v="0"/>
    <n v="0"/>
    <n v="0"/>
    <n v="8148"/>
    <x v="19"/>
  </r>
  <r>
    <n v="0"/>
    <n v="0"/>
    <n v="0"/>
    <n v="0"/>
    <n v="0"/>
    <n v="0"/>
    <n v="0"/>
    <n v="0"/>
    <n v="0"/>
    <n v="40047"/>
    <n v="0"/>
    <n v="0"/>
    <n v="0"/>
    <n v="0"/>
    <n v="0"/>
    <n v="0"/>
    <n v="0"/>
    <n v="0"/>
    <n v="0"/>
    <n v="0"/>
    <n v="0"/>
    <n v="0"/>
    <n v="0"/>
    <n v="0"/>
    <n v="0"/>
    <x v="19"/>
  </r>
  <r>
    <n v="103304"/>
    <n v="41322"/>
    <n v="10330"/>
    <n v="0"/>
    <n v="0"/>
    <n v="41322"/>
    <n v="0"/>
    <n v="0"/>
    <n v="0"/>
    <n v="41322"/>
    <n v="41322"/>
    <n v="41322"/>
    <n v="0"/>
    <n v="0"/>
    <n v="20661"/>
    <n v="30991"/>
    <n v="20661"/>
    <n v="0"/>
    <n v="0"/>
    <n v="5165"/>
    <n v="0"/>
    <n v="0"/>
    <n v="0"/>
    <n v="0"/>
    <n v="0"/>
    <x v="19"/>
  </r>
  <r>
    <n v="0"/>
    <n v="0"/>
    <n v="0"/>
    <n v="0"/>
    <n v="0"/>
    <n v="0"/>
    <n v="0"/>
    <n v="0"/>
    <n v="0"/>
    <n v="0"/>
    <n v="0"/>
    <n v="0"/>
    <n v="0"/>
    <n v="0"/>
    <n v="0"/>
    <n v="0"/>
    <n v="0"/>
    <n v="15494"/>
    <n v="0"/>
    <n v="0"/>
    <n v="0"/>
    <n v="0"/>
    <n v="0"/>
    <n v="0"/>
    <n v="0"/>
    <x v="17"/>
  </r>
  <r>
    <n v="0"/>
    <n v="0"/>
    <n v="0"/>
    <n v="0"/>
    <n v="0"/>
    <n v="0"/>
    <n v="0"/>
    <n v="0"/>
    <n v="0"/>
    <n v="0"/>
    <n v="0"/>
    <n v="0"/>
    <n v="0"/>
    <n v="0"/>
    <n v="0"/>
    <n v="0"/>
    <n v="0"/>
    <n v="0"/>
    <n v="0"/>
    <n v="0"/>
    <n v="0"/>
    <n v="0"/>
    <n v="0"/>
    <n v="0"/>
    <n v="0"/>
    <x v="18"/>
  </r>
  <r>
    <n v="229314"/>
    <n v="57328"/>
    <n v="0"/>
    <n v="0"/>
    <n v="0"/>
    <n v="0"/>
    <n v="0"/>
    <n v="0"/>
    <n v="0"/>
    <n v="0"/>
    <n v="0"/>
    <n v="0"/>
    <n v="0"/>
    <n v="0"/>
    <n v="0"/>
    <n v="0"/>
    <n v="0"/>
    <n v="0"/>
    <n v="0"/>
    <n v="0"/>
    <n v="0"/>
    <n v="0"/>
    <n v="0"/>
    <n v="0"/>
    <n v="0"/>
    <x v="13"/>
  </r>
  <r>
    <n v="0"/>
    <n v="57328"/>
    <n v="0"/>
    <n v="0"/>
    <n v="0"/>
    <n v="0"/>
    <n v="0"/>
    <n v="0"/>
    <n v="0"/>
    <n v="0"/>
    <n v="0"/>
    <n v="0"/>
    <n v="0"/>
    <n v="0"/>
    <n v="0"/>
    <n v="0"/>
    <n v="0"/>
    <n v="0"/>
    <n v="0"/>
    <n v="0"/>
    <n v="0"/>
    <n v="0"/>
    <n v="0"/>
    <n v="0"/>
    <n v="0"/>
    <x v="13"/>
  </r>
  <r>
    <n v="0"/>
    <n v="0"/>
    <n v="0"/>
    <n v="0"/>
    <n v="0"/>
    <n v="0"/>
    <n v="0"/>
    <n v="0"/>
    <n v="0"/>
    <n v="0"/>
    <n v="0"/>
    <n v="0"/>
    <n v="0"/>
    <n v="0"/>
    <n v="0"/>
    <n v="0"/>
    <n v="0"/>
    <n v="0"/>
    <n v="0"/>
    <n v="0"/>
    <n v="0"/>
    <n v="0"/>
    <n v="0"/>
    <n v="0"/>
    <n v="0"/>
    <x v="13"/>
  </r>
  <r>
    <n v="0"/>
    <n v="0"/>
    <n v="0"/>
    <n v="0"/>
    <n v="0"/>
    <n v="0"/>
    <n v="0"/>
    <n v="0"/>
    <n v="0"/>
    <n v="0"/>
    <n v="0"/>
    <n v="0"/>
    <n v="0"/>
    <n v="30067"/>
    <n v="0"/>
    <n v="0"/>
    <n v="0"/>
    <n v="0"/>
    <n v="0"/>
    <n v="0"/>
    <n v="0"/>
    <n v="0"/>
    <n v="0"/>
    <n v="0"/>
    <n v="0"/>
    <x v="13"/>
  </r>
  <r>
    <n v="0"/>
    <n v="0"/>
    <n v="0"/>
    <n v="0"/>
    <n v="0"/>
    <n v="0"/>
    <n v="0"/>
    <n v="0"/>
    <n v="0"/>
    <n v="0"/>
    <n v="0"/>
    <n v="0"/>
    <n v="0"/>
    <n v="3650"/>
    <n v="0"/>
    <n v="0"/>
    <n v="0"/>
    <n v="0"/>
    <n v="0"/>
    <n v="0"/>
    <n v="0"/>
    <n v="0"/>
    <n v="0"/>
    <n v="0"/>
    <n v="0"/>
    <x v="13"/>
  </r>
  <r>
    <n v="25987"/>
    <n v="7796"/>
    <n v="2599"/>
    <n v="0"/>
    <n v="7796"/>
    <n v="7796"/>
    <n v="0"/>
    <n v="5197"/>
    <n v="7796"/>
    <n v="0"/>
    <n v="7796"/>
    <n v="5197"/>
    <n v="5197"/>
    <n v="2599"/>
    <n v="0"/>
    <n v="7796"/>
    <n v="5197"/>
    <n v="7796"/>
    <n v="7796"/>
    <n v="3118"/>
    <n v="0"/>
    <n v="0"/>
    <n v="0"/>
    <n v="0"/>
    <n v="1559"/>
    <x v="20"/>
  </r>
  <r>
    <n v="0"/>
    <n v="0"/>
    <n v="0"/>
    <n v="0"/>
    <n v="0"/>
    <n v="0"/>
    <n v="0"/>
    <n v="0"/>
    <n v="0"/>
    <n v="0"/>
    <n v="0"/>
    <n v="0"/>
    <n v="0"/>
    <n v="0"/>
    <n v="0"/>
    <n v="0"/>
    <n v="0"/>
    <n v="0"/>
    <n v="0"/>
    <n v="0"/>
    <n v="0"/>
    <n v="0"/>
    <n v="0"/>
    <n v="0"/>
    <n v="0"/>
    <x v="20"/>
  </r>
  <r>
    <n v="0"/>
    <n v="0"/>
    <n v="5811"/>
    <n v="0"/>
    <n v="0"/>
    <n v="0"/>
    <n v="17434"/>
    <n v="0"/>
    <n v="17434"/>
    <n v="5811"/>
    <n v="17434"/>
    <n v="0"/>
    <n v="11622"/>
    <n v="3487"/>
    <n v="0"/>
    <n v="11622"/>
    <n v="11622"/>
    <n v="11622"/>
    <n v="0"/>
    <n v="5811"/>
    <n v="0"/>
    <n v="0"/>
    <n v="0"/>
    <n v="0"/>
    <n v="0"/>
    <x v="20"/>
  </r>
  <r>
    <n v="67253"/>
    <n v="26901"/>
    <n v="13451"/>
    <n v="0"/>
    <n v="26901"/>
    <n v="0"/>
    <n v="26901"/>
    <n v="0"/>
    <n v="26901"/>
    <n v="13451"/>
    <n v="26901"/>
    <n v="0"/>
    <n v="13451"/>
    <n v="13451"/>
    <n v="0"/>
    <n v="13451"/>
    <n v="13451"/>
    <n v="0"/>
    <n v="20176"/>
    <n v="8070"/>
    <n v="0"/>
    <n v="0"/>
    <n v="0"/>
    <n v="0"/>
    <n v="0"/>
    <x v="20"/>
  </r>
  <r>
    <n v="35542"/>
    <n v="17060"/>
    <n v="17060"/>
    <n v="0"/>
    <n v="0"/>
    <n v="0"/>
    <n v="0"/>
    <n v="0"/>
    <n v="17060"/>
    <n v="14217"/>
    <n v="17060"/>
    <n v="0"/>
    <n v="8530"/>
    <n v="4265"/>
    <n v="0"/>
    <n v="0"/>
    <n v="8530"/>
    <n v="7108"/>
    <n v="0"/>
    <n v="8530"/>
    <n v="0"/>
    <n v="0"/>
    <n v="0"/>
    <n v="0"/>
    <n v="0"/>
    <x v="20"/>
  </r>
  <r>
    <n v="0"/>
    <n v="0"/>
    <n v="0"/>
    <n v="0"/>
    <n v="0"/>
    <n v="0"/>
    <n v="0"/>
    <n v="0"/>
    <n v="0"/>
    <n v="0"/>
    <n v="0"/>
    <n v="0"/>
    <n v="0"/>
    <n v="0"/>
    <n v="0"/>
    <n v="0"/>
    <n v="0"/>
    <n v="0"/>
    <n v="0"/>
    <n v="0"/>
    <n v="0"/>
    <n v="0"/>
    <n v="0"/>
    <n v="0"/>
    <n v="0"/>
    <x v="20"/>
  </r>
  <r>
    <n v="106386"/>
    <n v="21277"/>
    <n v="21277"/>
    <n v="0"/>
    <n v="21277"/>
    <n v="0"/>
    <n v="0"/>
    <n v="0"/>
    <n v="0"/>
    <n v="0"/>
    <n v="0"/>
    <n v="0"/>
    <n v="10639"/>
    <n v="0"/>
    <n v="0"/>
    <n v="0"/>
    <n v="0"/>
    <n v="0"/>
    <n v="0"/>
    <n v="13298"/>
    <n v="0"/>
    <n v="0"/>
    <n v="0"/>
    <n v="0"/>
    <n v="13298"/>
    <x v="20"/>
  </r>
  <r>
    <n v="0"/>
    <n v="0"/>
    <n v="0"/>
    <n v="0"/>
    <n v="0"/>
    <n v="0"/>
    <n v="0"/>
    <n v="0"/>
    <n v="0"/>
    <n v="0"/>
    <n v="0"/>
    <n v="0"/>
    <n v="0"/>
    <n v="0"/>
    <n v="0"/>
    <n v="0"/>
    <n v="0"/>
    <n v="0"/>
    <n v="0"/>
    <n v="0"/>
    <n v="0"/>
    <n v="0"/>
    <n v="0"/>
    <n v="0"/>
    <n v="0"/>
    <x v="20"/>
  </r>
  <r>
    <n v="0"/>
    <n v="0"/>
    <n v="0"/>
    <n v="0"/>
    <n v="0"/>
    <n v="0"/>
    <n v="0"/>
    <n v="0"/>
    <n v="0"/>
    <n v="0"/>
    <n v="0"/>
    <n v="0"/>
    <n v="0"/>
    <n v="0"/>
    <n v="0"/>
    <n v="0"/>
    <n v="0"/>
    <n v="0"/>
    <n v="0"/>
    <n v="0"/>
    <n v="0"/>
    <n v="0"/>
    <n v="0"/>
    <n v="0"/>
    <n v="0"/>
    <x v="20"/>
  </r>
  <r>
    <n v="0"/>
    <n v="0"/>
    <n v="0"/>
    <n v="0"/>
    <n v="0"/>
    <n v="0"/>
    <n v="0"/>
    <n v="0"/>
    <n v="0"/>
    <n v="0"/>
    <n v="0"/>
    <n v="0"/>
    <n v="0"/>
    <n v="20203"/>
    <n v="0"/>
    <n v="0"/>
    <n v="0"/>
    <n v="0"/>
    <n v="0"/>
    <n v="0"/>
    <n v="0"/>
    <n v="0"/>
    <n v="0"/>
    <n v="0"/>
    <n v="0"/>
    <x v="21"/>
  </r>
  <r>
    <n v="0"/>
    <n v="0"/>
    <n v="0"/>
    <n v="0"/>
    <n v="0"/>
    <n v="0"/>
    <n v="0"/>
    <n v="0"/>
    <n v="0"/>
    <n v="0"/>
    <n v="0"/>
    <n v="0"/>
    <n v="0"/>
    <n v="2526"/>
    <n v="0"/>
    <n v="0"/>
    <n v="0"/>
    <n v="0"/>
    <n v="0"/>
    <n v="0"/>
    <n v="0"/>
    <n v="0"/>
    <n v="0"/>
    <n v="0"/>
    <n v="0"/>
    <x v="21"/>
  </r>
  <r>
    <n v="0"/>
    <n v="0"/>
    <n v="0"/>
    <n v="0"/>
    <n v="0"/>
    <n v="0"/>
    <n v="0"/>
    <n v="0"/>
    <n v="0"/>
    <n v="0"/>
    <n v="0"/>
    <n v="0"/>
    <n v="0"/>
    <n v="0"/>
    <n v="0"/>
    <n v="0"/>
    <n v="0"/>
    <n v="0"/>
    <n v="0"/>
    <n v="0"/>
    <n v="0"/>
    <n v="0"/>
    <n v="0"/>
    <n v="0"/>
    <n v="0"/>
    <x v="22"/>
  </r>
  <r>
    <n v="1176760"/>
    <n v="294190"/>
    <n v="294190"/>
    <n v="0"/>
    <n v="441285"/>
    <n v="0"/>
    <n v="441285"/>
    <n v="0"/>
    <n v="588380"/>
    <n v="441285"/>
    <n v="220643"/>
    <n v="73548"/>
    <n v="0"/>
    <n v="73548"/>
    <n v="73548"/>
    <n v="441285"/>
    <n v="110321"/>
    <n v="220643"/>
    <n v="147095"/>
    <n v="220643"/>
    <n v="0"/>
    <n v="0"/>
    <n v="220643"/>
    <n v="36774"/>
    <n v="73548"/>
    <x v="22"/>
  </r>
  <r>
    <n v="2273417"/>
    <n v="202082"/>
    <n v="50520"/>
    <n v="0"/>
    <n v="0"/>
    <n v="0"/>
    <n v="303122"/>
    <n v="0"/>
    <n v="404163"/>
    <n v="0"/>
    <n v="151561"/>
    <n v="101041"/>
    <n v="0"/>
    <n v="50520"/>
    <n v="0"/>
    <n v="0"/>
    <n v="101041"/>
    <n v="0"/>
    <n v="0"/>
    <n v="0"/>
    <n v="0"/>
    <n v="0"/>
    <n v="0"/>
    <n v="0"/>
    <n v="303122"/>
    <x v="23"/>
  </r>
  <r>
    <n v="0"/>
    <n v="0"/>
    <n v="0"/>
    <n v="0"/>
    <n v="0"/>
    <n v="0"/>
    <n v="0"/>
    <n v="0"/>
    <n v="0"/>
    <n v="0"/>
    <n v="0"/>
    <n v="0"/>
    <n v="0"/>
    <n v="0"/>
    <n v="0"/>
    <n v="0"/>
    <n v="0"/>
    <n v="0"/>
    <n v="0"/>
    <n v="0"/>
    <n v="0"/>
    <n v="0"/>
    <n v="0"/>
    <n v="0"/>
    <n v="0"/>
    <x v="23"/>
  </r>
  <r>
    <n v="12903"/>
    <n v="0"/>
    <n v="0"/>
    <n v="0"/>
    <n v="0"/>
    <n v="0"/>
    <n v="0"/>
    <n v="0"/>
    <n v="0"/>
    <n v="0"/>
    <n v="0"/>
    <n v="0"/>
    <n v="0"/>
    <n v="0"/>
    <n v="0"/>
    <n v="0"/>
    <n v="0"/>
    <n v="0"/>
    <n v="0"/>
    <n v="0"/>
    <n v="0"/>
    <n v="0"/>
    <n v="0"/>
    <n v="0"/>
    <n v="0"/>
    <x v="24"/>
  </r>
  <r>
    <n v="232535"/>
    <n v="18603"/>
    <n v="18603"/>
    <n v="0"/>
    <n v="0"/>
    <n v="18603"/>
    <n v="18603"/>
    <n v="0"/>
    <n v="18603"/>
    <n v="18603"/>
    <n v="18603"/>
    <n v="18603"/>
    <n v="9301"/>
    <n v="9301"/>
    <n v="9301"/>
    <n v="0"/>
    <n v="9301"/>
    <n v="116267"/>
    <n v="0"/>
    <n v="46507"/>
    <n v="0"/>
    <n v="0"/>
    <n v="139521"/>
    <n v="93014"/>
    <n v="0"/>
    <x v="25"/>
  </r>
  <r>
    <n v="0"/>
    <n v="0"/>
    <n v="0"/>
    <n v="0"/>
    <n v="0"/>
    <n v="0"/>
    <n v="0"/>
    <n v="0"/>
    <n v="0"/>
    <n v="0"/>
    <n v="0"/>
    <n v="0"/>
    <n v="0"/>
    <n v="0"/>
    <n v="0"/>
    <n v="0"/>
    <n v="0"/>
    <n v="0"/>
    <n v="0"/>
    <n v="0"/>
    <n v="0"/>
    <n v="0"/>
    <n v="0"/>
    <n v="0"/>
    <n v="0"/>
    <x v="25"/>
  </r>
  <r>
    <n v="212572"/>
    <n v="212572"/>
    <n v="212572"/>
    <n v="212572"/>
    <n v="212572"/>
    <n v="212572"/>
    <n v="212572"/>
    <n v="212572"/>
    <n v="212572"/>
    <n v="212572"/>
    <n v="212572"/>
    <n v="212572"/>
    <n v="212572"/>
    <n v="212572"/>
    <n v="212572"/>
    <n v="212572"/>
    <n v="212572"/>
    <n v="212572"/>
    <n v="212572"/>
    <n v="212572"/>
    <n v="212572"/>
    <n v="212572"/>
    <n v="0"/>
    <n v="212572"/>
    <n v="212572"/>
    <x v="25"/>
  </r>
  <r>
    <n v="32086"/>
    <n v="0"/>
    <n v="2139"/>
    <n v="0"/>
    <n v="8556"/>
    <n v="6417"/>
    <n v="8556"/>
    <n v="0"/>
    <n v="2139"/>
    <n v="8556"/>
    <n v="8556"/>
    <n v="0"/>
    <n v="2139"/>
    <n v="0"/>
    <n v="4278"/>
    <n v="8556"/>
    <n v="4278"/>
    <n v="10695"/>
    <n v="0"/>
    <n v="0"/>
    <n v="0"/>
    <n v="0"/>
    <n v="0"/>
    <n v="0"/>
    <n v="0"/>
    <x v="26"/>
  </r>
  <r>
    <n v="85062"/>
    <n v="0"/>
    <n v="0"/>
    <n v="0"/>
    <n v="0"/>
    <n v="0"/>
    <n v="0"/>
    <n v="0"/>
    <n v="0"/>
    <n v="0"/>
    <n v="0"/>
    <n v="0"/>
    <n v="0"/>
    <n v="0"/>
    <n v="0"/>
    <n v="0"/>
    <n v="0"/>
    <n v="0"/>
    <n v="17012"/>
    <n v="0"/>
    <n v="0"/>
    <n v="0"/>
    <n v="0"/>
    <n v="0"/>
    <n v="85062"/>
    <x v="27"/>
  </r>
  <r>
    <n v="0"/>
    <n v="0"/>
    <n v="0"/>
    <n v="0"/>
    <n v="0"/>
    <n v="0"/>
    <n v="0"/>
    <n v="0"/>
    <n v="0"/>
    <n v="0"/>
    <n v="0"/>
    <n v="0"/>
    <n v="0"/>
    <n v="0"/>
    <n v="0"/>
    <n v="0"/>
    <n v="0"/>
    <n v="0"/>
    <n v="0"/>
    <n v="0"/>
    <n v="0"/>
    <n v="0"/>
    <n v="0"/>
    <n v="0"/>
    <n v="0"/>
    <x v="28"/>
  </r>
  <r>
    <n v="32282"/>
    <n v="8608"/>
    <n v="0"/>
    <n v="0"/>
    <n v="0"/>
    <n v="8608"/>
    <n v="0"/>
    <n v="0"/>
    <n v="8608"/>
    <n v="0"/>
    <n v="0"/>
    <n v="8608"/>
    <n v="0"/>
    <n v="0"/>
    <n v="4304"/>
    <n v="0"/>
    <n v="8608"/>
    <n v="0"/>
    <n v="0"/>
    <n v="0"/>
    <n v="0"/>
    <n v="0"/>
    <n v="0"/>
    <n v="0"/>
    <n v="0"/>
    <x v="28"/>
  </r>
  <r>
    <n v="148140"/>
    <n v="49380"/>
    <n v="24690"/>
    <n v="0"/>
    <n v="0"/>
    <n v="0"/>
    <n v="49380"/>
    <n v="0"/>
    <n v="0"/>
    <n v="0"/>
    <n v="0"/>
    <n v="0"/>
    <n v="0"/>
    <n v="0"/>
    <n v="0"/>
    <n v="0"/>
    <n v="0"/>
    <n v="0"/>
    <n v="0"/>
    <n v="0"/>
    <n v="0"/>
    <n v="0"/>
    <n v="0"/>
    <n v="0"/>
    <n v="49380"/>
    <x v="29"/>
  </r>
  <r>
    <n v="0"/>
    <n v="0"/>
    <n v="0"/>
    <n v="0"/>
    <n v="0"/>
    <n v="0"/>
    <n v="0"/>
    <n v="0"/>
    <n v="0"/>
    <n v="0"/>
    <n v="0"/>
    <n v="0"/>
    <n v="0"/>
    <n v="0"/>
    <n v="0"/>
    <n v="0"/>
    <n v="0"/>
    <n v="0"/>
    <n v="0"/>
    <n v="0"/>
    <n v="0"/>
    <n v="0"/>
    <n v="0"/>
    <n v="0"/>
    <n v="0"/>
    <x v="29"/>
  </r>
  <r>
    <n v="5439282"/>
    <n v="483492"/>
    <n v="483492"/>
    <n v="0"/>
    <n v="0"/>
    <n v="0"/>
    <n v="604365"/>
    <n v="0"/>
    <n v="604365"/>
    <n v="362619"/>
    <n v="725238"/>
    <n v="120873"/>
    <n v="241746"/>
    <n v="120873"/>
    <n v="362619"/>
    <n v="0"/>
    <n v="120873"/>
    <n v="241746"/>
    <n v="0"/>
    <n v="725238"/>
    <n v="0"/>
    <n v="0"/>
    <n v="120873"/>
    <n v="241746"/>
    <n v="0"/>
    <x v="30"/>
  </r>
  <r>
    <n v="47648"/>
    <n v="0"/>
    <n v="0"/>
    <n v="0"/>
    <n v="0"/>
    <n v="0"/>
    <n v="0"/>
    <n v="0"/>
    <n v="0"/>
    <n v="0"/>
    <n v="0"/>
    <n v="0"/>
    <n v="0"/>
    <n v="0"/>
    <n v="0"/>
    <n v="0"/>
    <n v="0"/>
    <n v="0"/>
    <n v="0"/>
    <n v="0"/>
    <n v="0"/>
    <n v="0"/>
    <n v="0"/>
    <n v="0"/>
    <n v="0"/>
    <x v="31"/>
  </r>
  <r>
    <n v="474716"/>
    <n v="178018"/>
    <n v="178018"/>
    <n v="0"/>
    <n v="0"/>
    <n v="0"/>
    <n v="356037"/>
    <n v="0"/>
    <n v="0"/>
    <n v="296697"/>
    <n v="356037"/>
    <n v="0"/>
    <n v="178018"/>
    <n v="59339"/>
    <n v="59339"/>
    <n v="0"/>
    <n v="59339"/>
    <n v="59339"/>
    <n v="0"/>
    <n v="0"/>
    <n v="0"/>
    <n v="0"/>
    <n v="118679"/>
    <n v="0"/>
    <n v="29670"/>
    <x v="32"/>
  </r>
  <r>
    <n v="63602"/>
    <n v="0"/>
    <n v="0"/>
    <n v="0"/>
    <n v="0"/>
    <n v="0"/>
    <n v="0"/>
    <n v="0"/>
    <n v="0"/>
    <n v="0"/>
    <n v="0"/>
    <n v="0"/>
    <n v="0"/>
    <n v="0"/>
    <n v="0"/>
    <n v="0"/>
    <n v="0"/>
    <n v="0"/>
    <n v="0"/>
    <n v="0"/>
    <n v="0"/>
    <n v="0"/>
    <n v="0"/>
    <n v="0"/>
    <n v="0"/>
    <x v="32"/>
  </r>
  <r>
    <n v="865977"/>
    <n v="49484"/>
    <n v="12371"/>
    <n v="0"/>
    <n v="44536"/>
    <n v="0"/>
    <n v="61856"/>
    <n v="37113"/>
    <n v="61856"/>
    <n v="37113"/>
    <n v="49484"/>
    <n v="18557"/>
    <n v="12371"/>
    <n v="9897"/>
    <n v="12371"/>
    <n v="37113"/>
    <n v="24742"/>
    <n v="49484"/>
    <n v="0"/>
    <n v="0"/>
    <n v="0"/>
    <n v="0"/>
    <n v="0"/>
    <n v="18557"/>
    <n v="24742"/>
    <x v="33"/>
  </r>
  <r>
    <n v="0"/>
    <n v="0"/>
    <n v="0"/>
    <n v="0"/>
    <n v="0"/>
    <n v="0"/>
    <n v="0"/>
    <n v="0"/>
    <n v="0"/>
    <n v="0"/>
    <n v="0"/>
    <n v="0"/>
    <n v="0"/>
    <n v="0"/>
    <n v="0"/>
    <n v="0"/>
    <n v="0"/>
    <n v="0"/>
    <n v="0"/>
    <n v="0"/>
    <n v="0"/>
    <n v="0"/>
    <n v="0"/>
    <n v="0"/>
    <n v="0"/>
    <x v="34"/>
  </r>
  <r>
    <n v="703090"/>
    <n v="70309"/>
    <n v="43943"/>
    <n v="0"/>
    <n v="0"/>
    <n v="0"/>
    <n v="87886"/>
    <n v="21093"/>
    <n v="70309"/>
    <n v="35155"/>
    <n v="70309"/>
    <n v="0"/>
    <n v="17577"/>
    <n v="17577"/>
    <n v="8789"/>
    <n v="52732"/>
    <n v="17577"/>
    <n v="17577"/>
    <n v="0"/>
    <n v="70309"/>
    <n v="0"/>
    <n v="0"/>
    <n v="17577"/>
    <n v="8789"/>
    <n v="0"/>
    <x v="33"/>
  </r>
  <r>
    <n v="180804"/>
    <n v="90402"/>
    <n v="90402"/>
    <n v="0"/>
    <n v="63282"/>
    <n v="90402"/>
    <n v="0"/>
    <n v="0"/>
    <n v="81362"/>
    <n v="90402"/>
    <n v="90402"/>
    <n v="135603"/>
    <n v="72322"/>
    <n v="54241"/>
    <n v="54241"/>
    <n v="90402"/>
    <n v="54241"/>
    <n v="72322"/>
    <n v="0"/>
    <n v="90402"/>
    <n v="72322"/>
    <n v="54241"/>
    <n v="36161"/>
    <n v="36161"/>
    <n v="90402"/>
    <x v="35"/>
  </r>
  <r>
    <n v="0"/>
    <n v="0"/>
    <n v="0"/>
    <n v="0"/>
    <n v="0"/>
    <n v="0"/>
    <n v="0"/>
    <n v="0"/>
    <n v="0"/>
    <n v="0"/>
    <n v="0"/>
    <n v="0"/>
    <n v="0"/>
    <n v="0"/>
    <n v="0"/>
    <n v="0"/>
    <n v="0"/>
    <n v="0"/>
    <n v="0"/>
    <n v="0"/>
    <n v="0"/>
    <n v="0"/>
    <n v="0"/>
    <n v="0"/>
    <n v="0"/>
    <x v="13"/>
  </r>
  <r>
    <n v="0"/>
    <n v="0"/>
    <n v="0"/>
    <n v="0"/>
    <n v="0"/>
    <n v="0"/>
    <n v="0"/>
    <n v="0"/>
    <n v="0"/>
    <n v="0"/>
    <n v="0"/>
    <n v="0"/>
    <n v="0"/>
    <n v="0"/>
    <n v="0"/>
    <n v="0"/>
    <n v="0"/>
    <n v="0"/>
    <n v="0"/>
    <n v="0"/>
    <n v="0"/>
    <n v="0"/>
    <n v="0"/>
    <n v="0"/>
    <n v="0"/>
    <x v="13"/>
  </r>
  <r>
    <n v="0"/>
    <n v="0"/>
    <n v="0"/>
    <n v="0"/>
    <n v="0"/>
    <n v="0"/>
    <n v="0"/>
    <n v="0"/>
    <n v="0"/>
    <n v="0"/>
    <n v="0"/>
    <n v="0"/>
    <n v="0"/>
    <n v="0"/>
    <n v="0"/>
    <n v="0"/>
    <n v="0"/>
    <n v="0"/>
    <n v="0"/>
    <n v="0"/>
    <n v="0"/>
    <n v="0"/>
    <n v="0"/>
    <n v="0"/>
    <n v="0"/>
    <x v="13"/>
  </r>
  <r>
    <n v="0"/>
    <n v="0"/>
    <n v="0"/>
    <n v="0"/>
    <n v="0"/>
    <n v="0"/>
    <n v="0"/>
    <n v="0"/>
    <n v="0"/>
    <n v="0"/>
    <n v="0"/>
    <n v="0"/>
    <n v="0"/>
    <n v="0"/>
    <n v="0"/>
    <n v="0"/>
    <n v="0"/>
    <n v="0"/>
    <n v="0"/>
    <n v="0"/>
    <n v="0"/>
    <n v="0"/>
    <n v="0"/>
    <n v="0"/>
    <n v="0"/>
    <x v="13"/>
  </r>
  <r>
    <n v="0"/>
    <n v="0"/>
    <n v="0"/>
    <n v="0"/>
    <n v="0"/>
    <n v="0"/>
    <n v="0"/>
    <n v="0"/>
    <n v="0"/>
    <n v="0"/>
    <n v="0"/>
    <n v="0"/>
    <n v="0"/>
    <n v="0"/>
    <n v="0"/>
    <n v="0"/>
    <n v="0"/>
    <n v="0"/>
    <n v="0"/>
    <n v="0"/>
    <n v="0"/>
    <n v="0"/>
    <n v="0"/>
    <n v="0"/>
    <n v="0"/>
    <x v="20"/>
  </r>
  <r>
    <n v="10410"/>
    <n v="0"/>
    <n v="0"/>
    <n v="0"/>
    <n v="2082"/>
    <n v="0"/>
    <n v="0"/>
    <n v="0"/>
    <n v="0"/>
    <n v="0"/>
    <n v="0"/>
    <n v="0"/>
    <n v="0"/>
    <n v="0"/>
    <n v="0"/>
    <n v="0"/>
    <n v="0"/>
    <n v="0"/>
    <n v="0"/>
    <n v="0"/>
    <n v="0"/>
    <n v="0"/>
    <n v="0"/>
    <n v="0"/>
    <n v="0"/>
    <x v="36"/>
  </r>
  <r>
    <n v="27710"/>
    <n v="2771"/>
    <n v="2771"/>
    <n v="0"/>
    <n v="0"/>
    <n v="0"/>
    <n v="0"/>
    <n v="0"/>
    <n v="0"/>
    <n v="2771"/>
    <n v="0"/>
    <n v="0"/>
    <n v="0"/>
    <n v="0"/>
    <n v="2771"/>
    <n v="0"/>
    <n v="0"/>
    <n v="0"/>
    <n v="0"/>
    <n v="5542"/>
    <n v="0"/>
    <n v="0"/>
    <n v="0"/>
    <n v="0"/>
    <n v="0"/>
    <x v="37"/>
  </r>
  <r>
    <n v="0"/>
    <n v="0"/>
    <n v="0"/>
    <n v="0"/>
    <n v="0"/>
    <n v="0"/>
    <n v="0"/>
    <n v="0"/>
    <n v="0"/>
    <n v="0"/>
    <n v="0"/>
    <n v="0"/>
    <n v="0"/>
    <n v="0"/>
    <n v="0"/>
    <n v="0"/>
    <n v="0"/>
    <n v="0"/>
    <n v="0"/>
    <n v="0"/>
    <n v="0"/>
    <n v="0"/>
    <n v="0"/>
    <n v="0"/>
    <n v="0"/>
    <x v="38"/>
  </r>
  <r>
    <n v="0"/>
    <n v="0"/>
    <n v="0"/>
    <n v="0"/>
    <n v="0"/>
    <n v="0"/>
    <n v="0"/>
    <n v="0"/>
    <n v="0"/>
    <n v="0"/>
    <n v="0"/>
    <n v="0"/>
    <n v="0"/>
    <n v="0"/>
    <n v="0"/>
    <n v="0"/>
    <n v="0"/>
    <n v="0"/>
    <n v="0"/>
    <n v="0"/>
    <n v="0"/>
    <n v="0"/>
    <n v="0"/>
    <n v="0"/>
    <n v="0"/>
    <x v="39"/>
  </r>
  <r>
    <n v="0"/>
    <n v="0"/>
    <n v="0"/>
    <n v="0"/>
    <n v="0"/>
    <n v="0"/>
    <n v="0"/>
    <n v="0"/>
    <n v="0"/>
    <n v="0"/>
    <n v="0"/>
    <n v="0"/>
    <n v="0"/>
    <n v="0"/>
    <n v="0"/>
    <n v="0"/>
    <n v="0"/>
    <n v="0"/>
    <n v="0"/>
    <n v="0"/>
    <n v="0"/>
    <n v="0"/>
    <n v="0"/>
    <n v="0"/>
    <n v="0"/>
    <x v="37"/>
  </r>
  <r>
    <n v="0"/>
    <n v="0"/>
    <n v="0"/>
    <n v="0"/>
    <n v="0"/>
    <n v="0"/>
    <n v="0"/>
    <n v="0"/>
    <n v="0"/>
    <n v="0"/>
    <n v="0"/>
    <n v="0"/>
    <n v="0"/>
    <n v="0"/>
    <n v="0"/>
    <n v="0"/>
    <n v="0"/>
    <n v="0"/>
    <n v="0"/>
    <n v="0"/>
    <n v="0"/>
    <n v="0"/>
    <n v="0"/>
    <n v="0"/>
    <n v="0"/>
    <x v="37"/>
  </r>
  <r>
    <n v="0"/>
    <n v="0"/>
    <n v="0"/>
    <n v="0"/>
    <n v="0"/>
    <n v="0"/>
    <n v="0"/>
    <n v="0"/>
    <n v="0"/>
    <n v="0"/>
    <n v="0"/>
    <n v="0"/>
    <n v="0"/>
    <n v="0"/>
    <n v="0"/>
    <n v="0"/>
    <n v="0"/>
    <n v="0"/>
    <n v="0"/>
    <n v="0"/>
    <n v="0"/>
    <n v="0"/>
    <n v="0"/>
    <n v="0"/>
    <n v="0"/>
    <x v="40"/>
  </r>
  <r>
    <n v="6222"/>
    <n v="0"/>
    <n v="0"/>
    <n v="0"/>
    <n v="0"/>
    <n v="0"/>
    <n v="0"/>
    <n v="0"/>
    <n v="0"/>
    <n v="0"/>
    <n v="0"/>
    <n v="0"/>
    <n v="0"/>
    <n v="0"/>
    <n v="0"/>
    <n v="0"/>
    <n v="0"/>
    <n v="0"/>
    <n v="0"/>
    <n v="0"/>
    <n v="0"/>
    <n v="0"/>
    <n v="0"/>
    <n v="0"/>
    <n v="0"/>
    <x v="37"/>
  </r>
  <r>
    <n v="11181"/>
    <n v="1118"/>
    <n v="1118"/>
    <n v="1118"/>
    <n v="1118"/>
    <n v="1118"/>
    <n v="1118"/>
    <n v="1118"/>
    <n v="1118"/>
    <n v="1118"/>
    <n v="1118"/>
    <n v="1118"/>
    <n v="1118"/>
    <n v="1118"/>
    <n v="1118"/>
    <n v="1118"/>
    <n v="1118"/>
    <n v="1118"/>
    <n v="1118"/>
    <n v="1118"/>
    <n v="1118"/>
    <n v="1118"/>
    <n v="1118"/>
    <n v="1118"/>
    <n v="1118"/>
    <x v="37"/>
  </r>
  <r>
    <n v="7605"/>
    <n v="0"/>
    <n v="0"/>
    <n v="0"/>
    <n v="0"/>
    <n v="0"/>
    <n v="0"/>
    <n v="0"/>
    <n v="0"/>
    <n v="0"/>
    <n v="0"/>
    <n v="0"/>
    <n v="0"/>
    <n v="0"/>
    <n v="0"/>
    <n v="0"/>
    <n v="0"/>
    <n v="0"/>
    <n v="0"/>
    <n v="0"/>
    <n v="0"/>
    <n v="0"/>
    <n v="0"/>
    <n v="0"/>
    <n v="0"/>
    <x v="37"/>
  </r>
  <r>
    <n v="17505"/>
    <n v="0"/>
    <n v="0"/>
    <n v="0"/>
    <n v="0"/>
    <n v="0"/>
    <n v="0"/>
    <n v="0"/>
    <n v="0"/>
    <n v="0"/>
    <n v="0"/>
    <n v="0"/>
    <n v="0"/>
    <n v="0"/>
    <n v="0"/>
    <n v="0"/>
    <n v="0"/>
    <n v="0"/>
    <n v="0"/>
    <n v="0"/>
    <n v="0"/>
    <n v="0"/>
    <n v="0"/>
    <n v="0"/>
    <n v="0"/>
    <x v="37"/>
  </r>
  <r>
    <n v="0"/>
    <n v="0"/>
    <n v="0"/>
    <n v="0"/>
    <n v="0"/>
    <n v="0"/>
    <n v="0"/>
    <n v="0"/>
    <n v="0"/>
    <n v="0"/>
    <n v="0"/>
    <n v="0"/>
    <n v="0"/>
    <n v="0"/>
    <n v="0"/>
    <n v="0"/>
    <n v="0"/>
    <n v="0"/>
    <n v="0"/>
    <n v="0"/>
    <n v="0"/>
    <n v="0"/>
    <n v="0"/>
    <n v="0"/>
    <n v="0"/>
    <x v="37"/>
  </r>
  <r>
    <n v="138508"/>
    <n v="57711"/>
    <n v="34627"/>
    <n v="11542"/>
    <n v="34627"/>
    <n v="34627"/>
    <n v="34627"/>
    <n v="34627"/>
    <n v="34627"/>
    <n v="34627"/>
    <n v="23085"/>
    <n v="23085"/>
    <n v="23085"/>
    <n v="23085"/>
    <n v="23085"/>
    <n v="23085"/>
    <n v="23085"/>
    <n v="34627"/>
    <n v="23085"/>
    <n v="23085"/>
    <n v="23085"/>
    <n v="23085"/>
    <n v="23085"/>
    <n v="23085"/>
    <n v="23085"/>
    <x v="41"/>
  </r>
  <r>
    <n v="157680"/>
    <n v="90103"/>
    <n v="22526"/>
    <n v="45051"/>
    <n v="45051"/>
    <n v="45051"/>
    <n v="45051"/>
    <n v="45051"/>
    <n v="45051"/>
    <n v="45051"/>
    <n v="45051"/>
    <n v="22526"/>
    <n v="22526"/>
    <n v="22526"/>
    <n v="22526"/>
    <n v="22526"/>
    <n v="22526"/>
    <n v="45051"/>
    <n v="22526"/>
    <n v="22526"/>
    <n v="22526"/>
    <n v="22526"/>
    <n v="22526"/>
    <n v="22526"/>
    <n v="22526"/>
    <x v="41"/>
  </r>
  <r>
    <n v="60698"/>
    <n v="10116"/>
    <n v="5058"/>
    <n v="5058"/>
    <n v="5058"/>
    <n v="5058"/>
    <n v="5058"/>
    <n v="5058"/>
    <n v="5058"/>
    <n v="5058"/>
    <n v="5058"/>
    <n v="5058"/>
    <n v="5058"/>
    <n v="5058"/>
    <n v="5058"/>
    <n v="5058"/>
    <n v="5058"/>
    <n v="5058"/>
    <n v="5058"/>
    <n v="5058"/>
    <n v="5058"/>
    <n v="5058"/>
    <n v="5058"/>
    <n v="5058"/>
    <n v="5058"/>
    <x v="41"/>
  </r>
  <r>
    <n v="25087"/>
    <n v="16725"/>
    <n v="8362"/>
    <n v="0"/>
    <n v="0"/>
    <n v="0"/>
    <n v="0"/>
    <n v="0"/>
    <n v="0"/>
    <n v="0"/>
    <n v="0"/>
    <n v="0"/>
    <n v="0"/>
    <n v="0"/>
    <n v="0"/>
    <n v="0"/>
    <n v="0"/>
    <n v="8362"/>
    <n v="0"/>
    <n v="8362"/>
    <n v="0"/>
    <n v="0"/>
    <n v="0"/>
    <n v="0"/>
    <n v="0"/>
    <x v="41"/>
  </r>
  <r>
    <n v="6656"/>
    <n v="0"/>
    <n v="0"/>
    <n v="0"/>
    <n v="0"/>
    <n v="0"/>
    <n v="0"/>
    <n v="0"/>
    <n v="0"/>
    <n v="0"/>
    <n v="0"/>
    <n v="0"/>
    <n v="0"/>
    <n v="0"/>
    <n v="0"/>
    <n v="0"/>
    <n v="0"/>
    <n v="0"/>
    <n v="0"/>
    <n v="0"/>
    <n v="0"/>
    <n v="0"/>
    <n v="0"/>
    <n v="0"/>
    <n v="0"/>
    <x v="41"/>
  </r>
  <r>
    <n v="9326"/>
    <n v="0"/>
    <n v="0"/>
    <n v="0"/>
    <n v="0"/>
    <n v="0"/>
    <n v="0"/>
    <n v="0"/>
    <n v="0"/>
    <n v="0"/>
    <n v="0"/>
    <n v="0"/>
    <n v="0"/>
    <n v="0"/>
    <n v="0"/>
    <n v="0"/>
    <n v="0"/>
    <n v="0"/>
    <n v="0"/>
    <n v="0"/>
    <n v="0"/>
    <n v="0"/>
    <n v="0"/>
    <n v="0"/>
    <n v="0"/>
    <x v="41"/>
  </r>
  <r>
    <n v="0"/>
    <n v="0"/>
    <n v="0"/>
    <n v="0"/>
    <n v="0"/>
    <n v="0"/>
    <n v="0"/>
    <n v="0"/>
    <n v="0"/>
    <n v="0"/>
    <n v="0"/>
    <n v="0"/>
    <n v="0"/>
    <n v="0"/>
    <n v="0"/>
    <n v="0"/>
    <n v="0"/>
    <n v="0"/>
    <n v="0"/>
    <n v="0"/>
    <n v="0"/>
    <n v="0"/>
    <n v="0"/>
    <n v="0"/>
    <n v="0"/>
    <x v="37"/>
  </r>
  <r>
    <n v="0"/>
    <n v="0"/>
    <n v="0"/>
    <n v="0"/>
    <n v="0"/>
    <n v="0"/>
    <n v="0"/>
    <n v="0"/>
    <n v="0"/>
    <n v="0"/>
    <n v="0"/>
    <n v="0"/>
    <n v="0"/>
    <n v="0"/>
    <n v="0"/>
    <n v="0"/>
    <n v="0"/>
    <n v="0"/>
    <n v="0"/>
    <n v="0"/>
    <n v="0"/>
    <n v="0"/>
    <n v="0"/>
    <n v="0"/>
    <n v="0"/>
    <x v="37"/>
  </r>
  <r>
    <n v="0"/>
    <n v="0"/>
    <n v="0"/>
    <n v="0"/>
    <n v="0"/>
    <n v="0"/>
    <n v="0"/>
    <n v="0"/>
    <n v="0"/>
    <n v="0"/>
    <n v="0"/>
    <n v="0"/>
    <n v="0"/>
    <n v="0"/>
    <n v="0"/>
    <n v="0"/>
    <n v="0"/>
    <n v="0"/>
    <n v="0"/>
    <n v="0"/>
    <n v="0"/>
    <n v="0"/>
    <n v="0"/>
    <n v="0"/>
    <n v="0"/>
    <x v="37"/>
  </r>
  <r>
    <n v="0"/>
    <n v="0"/>
    <n v="0"/>
    <n v="0"/>
    <n v="0"/>
    <n v="0"/>
    <n v="0"/>
    <n v="0"/>
    <n v="0"/>
    <n v="0"/>
    <n v="0"/>
    <n v="0"/>
    <n v="0"/>
    <n v="0"/>
    <n v="0"/>
    <n v="0"/>
    <n v="0"/>
    <n v="0"/>
    <n v="0"/>
    <n v="0"/>
    <n v="0"/>
    <n v="0"/>
    <n v="0"/>
    <n v="0"/>
    <n v="0"/>
    <x v="37"/>
  </r>
  <r>
    <n v="0"/>
    <n v="0"/>
    <n v="0"/>
    <n v="0"/>
    <n v="0"/>
    <n v="0"/>
    <n v="0"/>
    <n v="0"/>
    <n v="0"/>
    <n v="0"/>
    <n v="0"/>
    <n v="0"/>
    <n v="0"/>
    <n v="0"/>
    <n v="0"/>
    <n v="0"/>
    <n v="0"/>
    <n v="0"/>
    <n v="0"/>
    <n v="0"/>
    <n v="0"/>
    <n v="0"/>
    <n v="0"/>
    <n v="0"/>
    <n v="0"/>
    <x v="37"/>
  </r>
  <r>
    <n v="0"/>
    <n v="0"/>
    <n v="0"/>
    <n v="0"/>
    <n v="0"/>
    <n v="0"/>
    <n v="0"/>
    <n v="0"/>
    <n v="0"/>
    <n v="0"/>
    <n v="0"/>
    <n v="0"/>
    <n v="0"/>
    <n v="0"/>
    <n v="0"/>
    <n v="0"/>
    <n v="0"/>
    <n v="0"/>
    <n v="0"/>
    <n v="0"/>
    <n v="0"/>
    <n v="0"/>
    <n v="0"/>
    <n v="0"/>
    <n v="0"/>
    <x v="37"/>
  </r>
  <r>
    <n v="0"/>
    <n v="0"/>
    <n v="0"/>
    <n v="0"/>
    <n v="0"/>
    <n v="0"/>
    <n v="0"/>
    <n v="0"/>
    <n v="0"/>
    <n v="0"/>
    <n v="0"/>
    <n v="0"/>
    <n v="0"/>
    <n v="0"/>
    <n v="0"/>
    <n v="0"/>
    <n v="0"/>
    <n v="0"/>
    <n v="0"/>
    <n v="0"/>
    <n v="0"/>
    <n v="0"/>
    <n v="0"/>
    <n v="0"/>
    <n v="0"/>
    <x v="37"/>
  </r>
  <r>
    <n v="0"/>
    <n v="0"/>
    <n v="0"/>
    <n v="0"/>
    <n v="0"/>
    <n v="0"/>
    <n v="0"/>
    <n v="0"/>
    <n v="0"/>
    <n v="0"/>
    <n v="0"/>
    <n v="0"/>
    <n v="0"/>
    <n v="0"/>
    <n v="0"/>
    <n v="0"/>
    <n v="0"/>
    <n v="0"/>
    <n v="0"/>
    <n v="0"/>
    <n v="0"/>
    <n v="0"/>
    <n v="0"/>
    <n v="0"/>
    <n v="0"/>
    <x v="37"/>
  </r>
  <r>
    <n v="40408"/>
    <n v="0"/>
    <n v="0"/>
    <n v="20204"/>
    <n v="0"/>
    <n v="0"/>
    <n v="0"/>
    <n v="0"/>
    <n v="0"/>
    <n v="0"/>
    <n v="0"/>
    <n v="20204"/>
    <n v="0"/>
    <n v="0"/>
    <n v="0"/>
    <n v="0"/>
    <n v="0"/>
    <n v="0"/>
    <n v="0"/>
    <n v="0"/>
    <n v="0"/>
    <n v="0"/>
    <n v="0"/>
    <n v="0"/>
    <n v="0"/>
    <x v="37"/>
  </r>
  <r>
    <n v="406794"/>
    <n v="135598"/>
    <n v="22600"/>
    <n v="0"/>
    <n v="45199"/>
    <n v="45199"/>
    <n v="45199"/>
    <n v="45199"/>
    <n v="45199"/>
    <n v="90399"/>
    <n v="45199"/>
    <n v="0"/>
    <n v="22600"/>
    <n v="45199"/>
    <n v="22600"/>
    <n v="45199"/>
    <n v="22600"/>
    <n v="45199"/>
    <n v="22600"/>
    <n v="22600"/>
    <n v="22600"/>
    <n v="22600"/>
    <n v="22600"/>
    <n v="22600"/>
    <n v="45199"/>
    <x v="37"/>
  </r>
  <r>
    <n v="398388"/>
    <n v="93738"/>
    <n v="117173"/>
    <n v="46869"/>
    <n v="187477"/>
    <n v="70304"/>
    <n v="70304"/>
    <n v="70304"/>
    <n v="70304"/>
    <n v="93738"/>
    <n v="70304"/>
    <n v="46869"/>
    <n v="46869"/>
    <n v="23435"/>
    <n v="23435"/>
    <n v="23435"/>
    <n v="46869"/>
    <n v="46869"/>
    <n v="23435"/>
    <n v="46869"/>
    <n v="23435"/>
    <n v="46869"/>
    <n v="46869"/>
    <n v="23435"/>
    <n v="46869"/>
    <x v="37"/>
  </r>
  <r>
    <n v="63927"/>
    <n v="19178"/>
    <n v="9589"/>
    <n v="9589"/>
    <n v="0"/>
    <n v="0"/>
    <n v="0"/>
    <n v="0"/>
    <n v="0"/>
    <n v="0"/>
    <n v="0"/>
    <n v="0"/>
    <n v="0"/>
    <n v="0"/>
    <n v="0"/>
    <n v="0"/>
    <n v="0"/>
    <n v="3196"/>
    <n v="0"/>
    <n v="0"/>
    <n v="3196"/>
    <n v="0"/>
    <n v="0"/>
    <n v="3196"/>
    <n v="0"/>
    <x v="37"/>
  </r>
  <r>
    <n v="139777"/>
    <n v="69888"/>
    <n v="23296"/>
    <n v="0"/>
    <n v="23296"/>
    <n v="0"/>
    <n v="0"/>
    <n v="0"/>
    <n v="0"/>
    <n v="0"/>
    <n v="0"/>
    <n v="0"/>
    <n v="0"/>
    <n v="0"/>
    <n v="0"/>
    <n v="0"/>
    <n v="0"/>
    <n v="0"/>
    <n v="0"/>
    <n v="0"/>
    <n v="0"/>
    <n v="0"/>
    <n v="0"/>
    <n v="0"/>
    <n v="0"/>
    <x v="41"/>
  </r>
  <r>
    <n v="191869"/>
    <n v="0"/>
    <n v="127912"/>
    <n v="63956"/>
    <n v="0"/>
    <n v="0"/>
    <n v="0"/>
    <n v="0"/>
    <n v="0"/>
    <n v="0"/>
    <n v="0"/>
    <n v="0"/>
    <n v="0"/>
    <n v="0"/>
    <n v="0"/>
    <n v="0"/>
    <n v="0"/>
    <n v="127912"/>
    <n v="0"/>
    <n v="63956"/>
    <n v="63956"/>
    <n v="63956"/>
    <n v="0"/>
    <n v="0"/>
    <n v="0"/>
    <x v="41"/>
  </r>
  <r>
    <n v="0"/>
    <n v="0"/>
    <n v="0"/>
    <n v="0"/>
    <n v="0"/>
    <n v="0"/>
    <n v="0"/>
    <n v="0"/>
    <n v="0"/>
    <n v="0"/>
    <n v="0"/>
    <n v="65651"/>
    <n v="65651"/>
    <n v="65651"/>
    <n v="65651"/>
    <n v="0"/>
    <n v="0"/>
    <n v="0"/>
    <n v="65651"/>
    <n v="0"/>
    <n v="0"/>
    <n v="0"/>
    <n v="65651"/>
    <n v="65651"/>
    <n v="0"/>
    <x v="41"/>
  </r>
  <r>
    <n v="610204"/>
    <n v="101701"/>
    <n v="0"/>
    <n v="0"/>
    <n v="101701"/>
    <n v="101701"/>
    <n v="101701"/>
    <n v="203401"/>
    <n v="101701"/>
    <n v="203401"/>
    <n v="101701"/>
    <n v="101701"/>
    <n v="0"/>
    <n v="0"/>
    <n v="0"/>
    <n v="101701"/>
    <n v="101701"/>
    <n v="0"/>
    <n v="0"/>
    <n v="0"/>
    <n v="0"/>
    <n v="0"/>
    <n v="0"/>
    <n v="0"/>
    <n v="0"/>
    <x v="41"/>
  </r>
  <r>
    <n v="57913"/>
    <n v="57913"/>
    <n v="0"/>
    <n v="0"/>
    <n v="0"/>
    <n v="0"/>
    <n v="0"/>
    <n v="0"/>
    <n v="0"/>
    <n v="0"/>
    <n v="0"/>
    <n v="0"/>
    <n v="0"/>
    <n v="0"/>
    <n v="0"/>
    <n v="0"/>
    <n v="0"/>
    <n v="57913"/>
    <n v="57913"/>
    <n v="0"/>
    <n v="0"/>
    <n v="0"/>
    <n v="0"/>
    <n v="0"/>
    <n v="57913"/>
    <x v="41"/>
  </r>
  <r>
    <n v="455801"/>
    <n v="0"/>
    <n v="0"/>
    <n v="0"/>
    <n v="0"/>
    <n v="0"/>
    <n v="0"/>
    <n v="0"/>
    <n v="0"/>
    <n v="0"/>
    <n v="0"/>
    <n v="0"/>
    <n v="0"/>
    <n v="0"/>
    <n v="0"/>
    <n v="0"/>
    <n v="0"/>
    <n v="0"/>
    <n v="0"/>
    <n v="0"/>
    <n v="0"/>
    <n v="0"/>
    <n v="0"/>
    <n v="0"/>
    <n v="0"/>
    <x v="41"/>
  </r>
  <r>
    <n v="37005"/>
    <n v="0"/>
    <n v="37005"/>
    <n v="0"/>
    <n v="0"/>
    <n v="0"/>
    <n v="0"/>
    <n v="0"/>
    <n v="0"/>
    <n v="0"/>
    <n v="0"/>
    <n v="0"/>
    <n v="0"/>
    <n v="0"/>
    <n v="0"/>
    <n v="0"/>
    <n v="0"/>
    <n v="0"/>
    <n v="0"/>
    <n v="0"/>
    <n v="0"/>
    <n v="0"/>
    <n v="0"/>
    <n v="0"/>
    <n v="0"/>
    <x v="37"/>
  </r>
  <r>
    <n v="12896"/>
    <n v="0"/>
    <n v="0"/>
    <n v="0"/>
    <n v="0"/>
    <n v="0"/>
    <n v="0"/>
    <n v="0"/>
    <n v="0"/>
    <n v="0"/>
    <n v="0"/>
    <n v="0"/>
    <n v="0"/>
    <n v="0"/>
    <n v="0"/>
    <n v="0"/>
    <n v="0"/>
    <n v="0"/>
    <n v="0"/>
    <n v="0"/>
    <n v="0"/>
    <n v="0"/>
    <n v="0"/>
    <n v="0"/>
    <n v="0"/>
    <x v="37"/>
  </r>
  <r>
    <n v="41941"/>
    <n v="41941"/>
    <n v="41941"/>
    <n v="0"/>
    <n v="0"/>
    <n v="0"/>
    <n v="0"/>
    <n v="0"/>
    <n v="0"/>
    <n v="0"/>
    <n v="0"/>
    <n v="0"/>
    <n v="0"/>
    <n v="0"/>
    <n v="0"/>
    <n v="0"/>
    <n v="0"/>
    <n v="0"/>
    <n v="0"/>
    <n v="0"/>
    <n v="0"/>
    <n v="0"/>
    <n v="0"/>
    <n v="0"/>
    <n v="0"/>
    <x v="37"/>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2"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6:Z49" firstHeaderRow="0" firstDataRow="1" firstDataCol="1"/>
  <pivotFields count="26">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axis="axisRow" showAll="0">
      <items count="43">
        <item x="32"/>
        <item x="30"/>
        <item x="31"/>
        <item x="34"/>
        <item x="33"/>
        <item x="35"/>
        <item x="28"/>
        <item x="14"/>
        <item x="19"/>
        <item x="13"/>
        <item x="21"/>
        <item x="26"/>
        <item x="22"/>
        <item x="27"/>
        <item x="24"/>
        <item x="23"/>
        <item x="25"/>
        <item x="12"/>
        <item x="5"/>
        <item x="8"/>
        <item x="4"/>
        <item x="1"/>
        <item x="0"/>
        <item x="2"/>
        <item x="3"/>
        <item x="6"/>
        <item x="7"/>
        <item x="11"/>
        <item x="9"/>
        <item x="10"/>
        <item x="20"/>
        <item x="40"/>
        <item x="36"/>
        <item x="29"/>
        <item x="38"/>
        <item x="39"/>
        <item x="16"/>
        <item x="18"/>
        <item x="15"/>
        <item x="17"/>
        <item x="37"/>
        <item x="41"/>
        <item t="default"/>
      </items>
    </pivotField>
  </pivotFields>
  <rowFields count="1">
    <field x="25"/>
  </rowFields>
  <rowItems count="43">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t="grand">
      <x/>
    </i>
  </rowItems>
  <colFields count="1">
    <field x="-2"/>
  </colFields>
  <colItems count="25">
    <i>
      <x/>
    </i>
    <i i="1">
      <x v="1"/>
    </i>
    <i i="2">
      <x v="2"/>
    </i>
    <i i="3">
      <x v="3"/>
    </i>
    <i i="4">
      <x v="4"/>
    </i>
    <i i="5">
      <x v="5"/>
    </i>
    <i i="6">
      <x v="6"/>
    </i>
    <i i="7">
      <x v="7"/>
    </i>
    <i i="8">
      <x v="8"/>
    </i>
    <i i="9">
      <x v="9"/>
    </i>
    <i i="10">
      <x v="10"/>
    </i>
    <i i="11">
      <x v="11"/>
    </i>
    <i i="12">
      <x v="12"/>
    </i>
    <i i="13">
      <x v="13"/>
    </i>
    <i i="14">
      <x v="14"/>
    </i>
    <i i="15">
      <x v="15"/>
    </i>
    <i i="16">
      <x v="16"/>
    </i>
    <i i="17">
      <x v="17"/>
    </i>
    <i i="18">
      <x v="18"/>
    </i>
    <i i="19">
      <x v="19"/>
    </i>
    <i i="20">
      <x v="20"/>
    </i>
    <i i="21">
      <x v="21"/>
    </i>
    <i i="22">
      <x v="22"/>
    </i>
    <i i="23">
      <x v="23"/>
    </i>
    <i i="24">
      <x v="24"/>
    </i>
  </colItems>
  <dataFields count="25">
    <dataField name="Suma de SEDE 1 - MANZANA LIEVANO - ALCALDÍA MAYOR" fld="0" baseField="0" baseItem="0"/>
    <dataField name="Suma de SEDE 2- DIRECCIÓN DISTRITAL DE ARCHIVO DE  BOGOTA " fld="1" baseField="0" baseItem="0"/>
    <dataField name="Suma de SEDE 3 - IMPRENTA DISTRITAL" fld="2" baseField="0" baseItem="0"/>
    <dataField name="Suma de SEDE 4 - SEDE ALTERNA RESTREPO " fld="3" baseField="0" baseItem="0"/>
    <dataField name="Suma de SEDE 5 - SUPERCADE CAD CARRERA " fld="4" baseField="0" baseItem="0"/>
    <dataField name="Suma de SEDE 6 - SUPERCADE AMERICAS " fld="5" baseField="0" baseItem="0"/>
    <dataField name="Suma de SEDE 7 - SUPERCADE BOSA " fld="6" baseField="0" baseItem="0"/>
    <dataField name="Suma de SEDE 8 - SUPERCADE CALLE 13 " fld="7" baseField="0" baseItem="0"/>
    <dataField name="Suma de SEDE 9 - SUPERCADE 20 DE JULIO " fld="8" baseField="0" baseItem="0"/>
    <dataField name="Suma de SEDE 10 - SUPERCADE MANITAS " fld="9" baseField="0" baseItem="0"/>
    <dataField name="Suma de SEDE 11 - SUPERCADE SUBA " fld="10" baseField="0" baseItem="0"/>
    <dataField name="Suma de SEDE 12 - SUPERCADE SOCIAL" fld="11" baseField="0" baseItem="0"/>
    <dataField name="Suma de SEDE 13 - CADE SERVITA " fld="12" baseField="0" baseItem="0"/>
    <dataField name="Suma de SEDE 14 - CADE LA VICTORIA " fld="13" baseField="0" baseItem="0"/>
    <dataField name="Suma de SEDE 15 - CADE LA GAITANA " fld="14" baseField="0" baseItem="0"/>
    <dataField name="Suma de SEDE 16 - SUPERCADE ENGATIVA " fld="15" baseField="0" baseItem="0"/>
    <dataField name="Suma de SEDE 17 - CADE LOS LUCEROS " fld="16" baseField="0" baseItem="0"/>
    <dataField name="Suma de SEDE 18 - CENTRO DE MEMORIA, PAZ Y RECONCILIACIÓN " fld="17" baseField="0" baseItem="0"/>
    <dataField name="Suma de SEDE 19 - CENTRO DE ENCUENTRO BOSA " fld="18" baseField="0" baseItem="0"/>
    <dataField name="Suma de SEDE 20 - CENTRO DE ENCUENTRO CHAPINERO " fld="19" baseField="0" baseItem="0"/>
    <dataField name="Suma de SEDE 21 - CENTRO DE ENCUENTRO CIUDAD BOLIVAR " fld="20" baseField="0" baseItem="0"/>
    <dataField name="Suma de SEDE 22 - CENTRO DE ENCUENTRO KENNEDY PATIO BONITO " fld="21" baseField="0" baseItem="0"/>
    <dataField name="Suma de SEDE 23 - CENTRO DE ENCUENTRO RAFAEL URIBE " fld="22" baseField="0" baseItem="0"/>
    <dataField name="Suma de SEDE 24 - CENTRO DE ENCUENTRO SUBA " fld="23" baseField="0" baseItem="0"/>
    <dataField name="Suma de SEDE 25 - SEDE ALTERNA TEQUENDAMA" fld="24" baseField="0" baseItem="0"/>
  </dataFields>
  <formats count="8">
    <format dxfId="7">
      <pivotArea outline="0" collapsedLevelsAreSubtotals="1" fieldPosition="0"/>
    </format>
    <format dxfId="6">
      <pivotArea dataOnly="0" labelOnly="1" outline="0" fieldPosition="0">
        <references count="1">
          <reference field="4294967294" count="25">
            <x v="0"/>
            <x v="1"/>
            <x v="2"/>
            <x v="3"/>
            <x v="4"/>
            <x v="5"/>
            <x v="6"/>
            <x v="7"/>
            <x v="8"/>
            <x v="9"/>
            <x v="10"/>
            <x v="11"/>
            <x v="12"/>
            <x v="13"/>
            <x v="14"/>
            <x v="15"/>
            <x v="16"/>
            <x v="17"/>
            <x v="18"/>
            <x v="19"/>
            <x v="20"/>
            <x v="21"/>
            <x v="22"/>
            <x v="23"/>
            <x v="24"/>
          </reference>
        </references>
      </pivotArea>
    </format>
    <format dxfId="5">
      <pivotArea field="25" type="button" dataOnly="0" labelOnly="1" outline="0" axis="axisRow" fieldPosition="0"/>
    </format>
    <format dxfId="4">
      <pivotArea dataOnly="0" labelOnly="1" outline="0" fieldPosition="0">
        <references count="1">
          <reference field="4294967294" count="25">
            <x v="0"/>
            <x v="1"/>
            <x v="2"/>
            <x v="3"/>
            <x v="4"/>
            <x v="5"/>
            <x v="6"/>
            <x v="7"/>
            <x v="8"/>
            <x v="9"/>
            <x v="10"/>
            <x v="11"/>
            <x v="12"/>
            <x v="13"/>
            <x v="14"/>
            <x v="15"/>
            <x v="16"/>
            <x v="17"/>
            <x v="18"/>
            <x v="19"/>
            <x v="20"/>
            <x v="21"/>
            <x v="22"/>
            <x v="23"/>
            <x v="24"/>
          </reference>
        </references>
      </pivotArea>
    </format>
    <format dxfId="3">
      <pivotArea field="25" type="button" dataOnly="0" labelOnly="1" outline="0" axis="axisRow" fieldPosition="0"/>
    </format>
    <format dxfId="2">
      <pivotArea dataOnly="0" labelOnly="1" outline="0" fieldPosition="0">
        <references count="1">
          <reference field="4294967294" count="25">
            <x v="0"/>
            <x v="1"/>
            <x v="2"/>
            <x v="3"/>
            <x v="4"/>
            <x v="5"/>
            <x v="6"/>
            <x v="7"/>
            <x v="8"/>
            <x v="9"/>
            <x v="10"/>
            <x v="11"/>
            <x v="12"/>
            <x v="13"/>
            <x v="14"/>
            <x v="15"/>
            <x v="16"/>
            <x v="17"/>
            <x v="18"/>
            <x v="19"/>
            <x v="20"/>
            <x v="21"/>
            <x v="22"/>
            <x v="23"/>
            <x v="24"/>
          </reference>
        </references>
      </pivotArea>
    </format>
    <format dxfId="1">
      <pivotArea field="25" type="button" dataOnly="0" labelOnly="1" outline="0" axis="axisRow" fieldPosition="0"/>
    </format>
    <format dxfId="0">
      <pivotArea dataOnly="0" labelOnly="1" outline="0" fieldPosition="0">
        <references count="1">
          <reference field="4294967294" count="25">
            <x v="0"/>
            <x v="1"/>
            <x v="2"/>
            <x v="3"/>
            <x v="4"/>
            <x v="5"/>
            <x v="6"/>
            <x v="7"/>
            <x v="8"/>
            <x v="9"/>
            <x v="10"/>
            <x v="11"/>
            <x v="12"/>
            <x v="13"/>
            <x v="14"/>
            <x v="15"/>
            <x v="16"/>
            <x v="17"/>
            <x v="18"/>
            <x v="19"/>
            <x v="20"/>
            <x v="21"/>
            <x v="22"/>
            <x v="23"/>
            <x v="24"/>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190"/>
  <sheetViews>
    <sheetView workbookViewId="0">
      <selection activeCell="J21" sqref="J21"/>
    </sheetView>
  </sheetViews>
  <sheetFormatPr baseColWidth="10" defaultColWidth="11" defaultRowHeight="14.25"/>
  <cols>
    <col min="1" max="1" width="4" bestFit="1" customWidth="1"/>
    <col min="2" max="2" width="24.125" customWidth="1"/>
    <col min="3" max="3" width="14.625" customWidth="1"/>
    <col min="4" max="4" width="14.75" customWidth="1"/>
    <col min="5" max="6" width="13.625" customWidth="1"/>
    <col min="7" max="7" width="12.625" customWidth="1"/>
    <col min="8" max="14" width="13.625" customWidth="1"/>
    <col min="15" max="17" width="12.625" customWidth="1"/>
    <col min="18" max="23" width="13.625" customWidth="1"/>
    <col min="24" max="24" width="12.625" customWidth="1"/>
    <col min="25" max="26" width="13.625" customWidth="1"/>
    <col min="27" max="27" width="12.625" customWidth="1"/>
  </cols>
  <sheetData>
    <row r="1" spans="1:28" ht="60.75" thickBot="1">
      <c r="A1" s="43" t="s">
        <v>682</v>
      </c>
      <c r="B1" s="44" t="s">
        <v>683</v>
      </c>
      <c r="C1" s="45" t="s">
        <v>684</v>
      </c>
      <c r="D1" s="46" t="s">
        <v>653</v>
      </c>
      <c r="E1" s="46" t="s">
        <v>654</v>
      </c>
      <c r="F1" s="46" t="s">
        <v>655</v>
      </c>
      <c r="G1" s="46" t="s">
        <v>656</v>
      </c>
      <c r="H1" s="46" t="s">
        <v>657</v>
      </c>
      <c r="I1" s="46" t="s">
        <v>658</v>
      </c>
      <c r="J1" s="46" t="s">
        <v>659</v>
      </c>
      <c r="K1" s="46" t="s">
        <v>660</v>
      </c>
      <c r="L1" s="46" t="s">
        <v>661</v>
      </c>
      <c r="M1" s="46" t="s">
        <v>662</v>
      </c>
      <c r="N1" s="46" t="s">
        <v>663</v>
      </c>
      <c r="O1" s="46" t="s">
        <v>664</v>
      </c>
      <c r="P1" s="47" t="s">
        <v>665</v>
      </c>
      <c r="Q1" s="46" t="s">
        <v>666</v>
      </c>
      <c r="R1" s="46" t="s">
        <v>667</v>
      </c>
      <c r="S1" s="46" t="s">
        <v>668</v>
      </c>
      <c r="T1" s="46" t="s">
        <v>669</v>
      </c>
      <c r="U1" s="46" t="s">
        <v>670</v>
      </c>
      <c r="V1" s="46" t="s">
        <v>671</v>
      </c>
      <c r="W1" s="46" t="s">
        <v>672</v>
      </c>
      <c r="X1" s="46" t="s">
        <v>673</v>
      </c>
      <c r="Y1" s="46" t="s">
        <v>674</v>
      </c>
      <c r="Z1" s="46" t="s">
        <v>675</v>
      </c>
      <c r="AA1" s="46" t="s">
        <v>676</v>
      </c>
      <c r="AB1" s="48" t="s">
        <v>677</v>
      </c>
    </row>
    <row r="2" spans="1:28">
      <c r="A2" s="49">
        <v>1</v>
      </c>
      <c r="B2" s="50" t="s">
        <v>685</v>
      </c>
      <c r="C2" s="51">
        <f>SUM(D2:AB2)</f>
        <v>130</v>
      </c>
      <c r="D2" s="128">
        <v>30</v>
      </c>
      <c r="E2" s="128">
        <v>11</v>
      </c>
      <c r="F2" s="128">
        <v>2</v>
      </c>
      <c r="G2" s="128">
        <v>2</v>
      </c>
      <c r="H2" s="127">
        <v>10</v>
      </c>
      <c r="I2" s="128">
        <v>8</v>
      </c>
      <c r="J2" s="128">
        <v>6</v>
      </c>
      <c r="K2" s="127">
        <v>4</v>
      </c>
      <c r="L2" s="128">
        <v>6</v>
      </c>
      <c r="M2" s="128">
        <v>8</v>
      </c>
      <c r="N2" s="128">
        <v>8</v>
      </c>
      <c r="O2" s="128">
        <v>2</v>
      </c>
      <c r="P2" s="133">
        <v>2</v>
      </c>
      <c r="Q2" s="128">
        <v>2</v>
      </c>
      <c r="R2" s="128">
        <v>2</v>
      </c>
      <c r="S2" s="128">
        <v>4</v>
      </c>
      <c r="T2" s="128">
        <v>1</v>
      </c>
      <c r="U2" s="128">
        <v>4</v>
      </c>
      <c r="V2" s="128">
        <v>3</v>
      </c>
      <c r="W2" s="128">
        <v>3</v>
      </c>
      <c r="X2" s="128">
        <v>2</v>
      </c>
      <c r="Y2" s="128">
        <v>3</v>
      </c>
      <c r="Z2" s="128">
        <v>3</v>
      </c>
      <c r="AA2" s="128">
        <v>2</v>
      </c>
      <c r="AB2" s="134">
        <v>2</v>
      </c>
    </row>
    <row r="3" spans="1:28">
      <c r="A3" s="52">
        <v>2</v>
      </c>
      <c r="B3" s="53" t="s">
        <v>686</v>
      </c>
      <c r="C3" s="54">
        <f>SUM(D3:AB3)</f>
        <v>41</v>
      </c>
      <c r="D3" s="129">
        <v>12</v>
      </c>
      <c r="E3" s="129">
        <v>3</v>
      </c>
      <c r="F3" s="129">
        <v>2</v>
      </c>
      <c r="G3" s="54"/>
      <c r="H3" s="129">
        <v>2</v>
      </c>
      <c r="I3" s="129">
        <v>2</v>
      </c>
      <c r="J3" s="129">
        <v>2</v>
      </c>
      <c r="K3" s="129">
        <v>1</v>
      </c>
      <c r="L3" s="129">
        <v>2</v>
      </c>
      <c r="M3" s="129">
        <v>2</v>
      </c>
      <c r="N3" s="129">
        <v>2</v>
      </c>
      <c r="O3" s="54"/>
      <c r="P3" s="107"/>
      <c r="Q3" s="129">
        <v>1</v>
      </c>
      <c r="R3" s="129">
        <v>1</v>
      </c>
      <c r="S3" s="129">
        <v>2</v>
      </c>
      <c r="T3" s="54"/>
      <c r="U3" s="129">
        <v>2</v>
      </c>
      <c r="V3" s="129">
        <v>2</v>
      </c>
      <c r="W3" s="129">
        <v>1</v>
      </c>
      <c r="X3" s="129">
        <v>1</v>
      </c>
      <c r="Y3" s="54"/>
      <c r="Z3" s="129">
        <v>1</v>
      </c>
      <c r="AA3" s="54"/>
      <c r="AB3" s="108"/>
    </row>
    <row r="4" spans="1:28">
      <c r="A4" s="52">
        <v>3</v>
      </c>
      <c r="B4" s="53" t="s">
        <v>687</v>
      </c>
      <c r="C4" s="54">
        <f>SUM(D4:AB4)</f>
        <v>4</v>
      </c>
      <c r="D4" s="129">
        <v>3</v>
      </c>
      <c r="E4" s="129">
        <v>1</v>
      </c>
      <c r="F4" s="129"/>
      <c r="G4" s="54"/>
      <c r="H4" s="54"/>
      <c r="I4" s="129"/>
      <c r="J4" s="54"/>
      <c r="K4" s="54"/>
      <c r="L4" s="54"/>
      <c r="M4" s="54"/>
      <c r="N4" s="129"/>
      <c r="O4" s="54"/>
      <c r="P4" s="107"/>
      <c r="Q4" s="54"/>
      <c r="R4" s="54"/>
      <c r="S4" s="54"/>
      <c r="T4" s="54"/>
      <c r="U4" s="129"/>
      <c r="V4" s="129"/>
      <c r="W4" s="54"/>
      <c r="X4" s="54"/>
      <c r="Y4" s="54"/>
      <c r="Z4" s="54"/>
      <c r="AA4" s="54"/>
      <c r="AB4" s="108"/>
    </row>
    <row r="5" spans="1:28">
      <c r="A5" s="52">
        <v>4</v>
      </c>
      <c r="B5" s="53" t="s">
        <v>688</v>
      </c>
      <c r="C5" s="54">
        <f>SUM(D5:AB5)</f>
        <v>5</v>
      </c>
      <c r="D5" s="129">
        <v>1</v>
      </c>
      <c r="E5" s="129">
        <v>1</v>
      </c>
      <c r="F5" s="129">
        <v>1</v>
      </c>
      <c r="G5" s="54"/>
      <c r="H5" s="54"/>
      <c r="I5" s="54"/>
      <c r="J5" s="54"/>
      <c r="K5" s="54"/>
      <c r="L5" s="54"/>
      <c r="M5" s="54"/>
      <c r="N5" s="129"/>
      <c r="O5" s="54"/>
      <c r="P5" s="107"/>
      <c r="Q5" s="54"/>
      <c r="R5" s="54"/>
      <c r="S5" s="54"/>
      <c r="T5" s="54"/>
      <c r="U5" s="129">
        <v>1</v>
      </c>
      <c r="V5" s="129">
        <v>1</v>
      </c>
      <c r="W5" s="54"/>
      <c r="X5" s="54"/>
      <c r="Y5" s="54"/>
      <c r="Z5" s="54"/>
      <c r="AA5" s="54"/>
      <c r="AB5" s="108"/>
    </row>
    <row r="6" spans="1:28" ht="15" thickBot="1">
      <c r="A6" s="55">
        <v>5</v>
      </c>
      <c r="B6" s="56" t="s">
        <v>689</v>
      </c>
      <c r="C6" s="57">
        <f>SUM(D6:AB6)</f>
        <v>5</v>
      </c>
      <c r="D6" s="130">
        <v>2</v>
      </c>
      <c r="E6" s="57"/>
      <c r="F6" s="57"/>
      <c r="G6" s="57"/>
      <c r="H6" s="57"/>
      <c r="I6" s="57"/>
      <c r="J6" s="57"/>
      <c r="K6" s="57"/>
      <c r="L6" s="57"/>
      <c r="M6" s="57">
        <v>1</v>
      </c>
      <c r="N6" s="130">
        <v>1</v>
      </c>
      <c r="O6" s="57"/>
      <c r="P6" s="109"/>
      <c r="Q6" s="57"/>
      <c r="R6" s="57"/>
      <c r="S6" s="57"/>
      <c r="T6" s="57"/>
      <c r="U6" s="130">
        <v>1</v>
      </c>
      <c r="V6" s="57"/>
      <c r="W6" s="57"/>
      <c r="X6" s="57"/>
      <c r="Y6" s="57"/>
      <c r="Z6" s="57"/>
      <c r="AA6" s="57"/>
      <c r="AB6" s="110"/>
    </row>
    <row r="7" spans="1:28" ht="15" thickBot="1">
      <c r="A7" s="216" t="s">
        <v>690</v>
      </c>
      <c r="B7" s="217"/>
      <c r="C7" s="58">
        <f t="shared" ref="C7:AB7" si="0">SUM(C2:C6)</f>
        <v>185</v>
      </c>
      <c r="D7" s="58">
        <f t="shared" si="0"/>
        <v>48</v>
      </c>
      <c r="E7" s="58">
        <f t="shared" si="0"/>
        <v>16</v>
      </c>
      <c r="F7" s="58">
        <f t="shared" si="0"/>
        <v>5</v>
      </c>
      <c r="G7" s="58">
        <f t="shared" si="0"/>
        <v>2</v>
      </c>
      <c r="H7" s="58">
        <f t="shared" si="0"/>
        <v>12</v>
      </c>
      <c r="I7" s="58">
        <f t="shared" si="0"/>
        <v>10</v>
      </c>
      <c r="J7" s="58">
        <f t="shared" si="0"/>
        <v>8</v>
      </c>
      <c r="K7" s="58">
        <f t="shared" si="0"/>
        <v>5</v>
      </c>
      <c r="L7" s="58">
        <f t="shared" si="0"/>
        <v>8</v>
      </c>
      <c r="M7" s="58">
        <f t="shared" si="0"/>
        <v>11</v>
      </c>
      <c r="N7" s="58">
        <f t="shared" si="0"/>
        <v>11</v>
      </c>
      <c r="O7" s="58">
        <f t="shared" si="0"/>
        <v>2</v>
      </c>
      <c r="P7" s="58">
        <f t="shared" si="0"/>
        <v>2</v>
      </c>
      <c r="Q7" s="58">
        <f t="shared" si="0"/>
        <v>3</v>
      </c>
      <c r="R7" s="58">
        <f t="shared" si="0"/>
        <v>3</v>
      </c>
      <c r="S7" s="58">
        <f t="shared" si="0"/>
        <v>6</v>
      </c>
      <c r="T7" s="58">
        <f t="shared" si="0"/>
        <v>1</v>
      </c>
      <c r="U7" s="58">
        <f t="shared" si="0"/>
        <v>8</v>
      </c>
      <c r="V7" s="58">
        <f t="shared" si="0"/>
        <v>6</v>
      </c>
      <c r="W7" s="58">
        <f t="shared" si="0"/>
        <v>4</v>
      </c>
      <c r="X7" s="58">
        <f t="shared" si="0"/>
        <v>3</v>
      </c>
      <c r="Y7" s="58">
        <f t="shared" si="0"/>
        <v>3</v>
      </c>
      <c r="Z7" s="58">
        <f t="shared" si="0"/>
        <v>4</v>
      </c>
      <c r="AA7" s="58">
        <f t="shared" si="0"/>
        <v>2</v>
      </c>
      <c r="AB7" s="59">
        <f t="shared" si="0"/>
        <v>2</v>
      </c>
    </row>
    <row r="8" spans="1:28">
      <c r="R8" s="66"/>
    </row>
    <row r="9" spans="1:28" s="65" customFormat="1">
      <c r="R9" s="66"/>
    </row>
    <row r="10" spans="1:28" s="65" customFormat="1">
      <c r="B10" s="65" t="s">
        <v>692</v>
      </c>
      <c r="C10" s="65">
        <v>2862350.9288400002</v>
      </c>
      <c r="D10" s="65">
        <f>+$C$10*D7</f>
        <v>137392844.58432001</v>
      </c>
      <c r="E10" s="65">
        <f t="shared" ref="E10:AA10" si="1">+$C$10*E7</f>
        <v>45797614.861440003</v>
      </c>
      <c r="F10" s="65">
        <f t="shared" si="1"/>
        <v>14311754.644200001</v>
      </c>
      <c r="G10" s="65">
        <f t="shared" si="1"/>
        <v>5724701.8576800004</v>
      </c>
      <c r="H10" s="65">
        <f t="shared" si="1"/>
        <v>34348211.146080002</v>
      </c>
      <c r="I10" s="65">
        <f t="shared" si="1"/>
        <v>28623509.288400002</v>
      </c>
      <c r="J10" s="65">
        <f t="shared" si="1"/>
        <v>22898807.430720001</v>
      </c>
      <c r="K10" s="65">
        <f t="shared" si="1"/>
        <v>14311754.644200001</v>
      </c>
      <c r="L10" s="65">
        <f t="shared" si="1"/>
        <v>22898807.430720001</v>
      </c>
      <c r="M10" s="65">
        <f t="shared" si="1"/>
        <v>31485860.217240002</v>
      </c>
      <c r="N10" s="65">
        <f t="shared" si="1"/>
        <v>31485860.217240002</v>
      </c>
      <c r="O10" s="65">
        <f t="shared" si="1"/>
        <v>5724701.8576800004</v>
      </c>
      <c r="P10" s="65">
        <f t="shared" si="1"/>
        <v>5724701.8576800004</v>
      </c>
      <c r="Q10" s="65">
        <f t="shared" si="1"/>
        <v>8587052.7865200005</v>
      </c>
      <c r="R10" s="65">
        <f t="shared" si="1"/>
        <v>8587052.7865200005</v>
      </c>
      <c r="S10" s="65">
        <f t="shared" si="1"/>
        <v>17174105.573040001</v>
      </c>
      <c r="T10" s="65">
        <f t="shared" si="1"/>
        <v>2862350.9288400002</v>
      </c>
      <c r="U10" s="65">
        <f t="shared" si="1"/>
        <v>22898807.430720001</v>
      </c>
      <c r="V10" s="65">
        <f t="shared" si="1"/>
        <v>17174105.573040001</v>
      </c>
      <c r="W10" s="65">
        <f t="shared" si="1"/>
        <v>11449403.715360001</v>
      </c>
      <c r="X10" s="65">
        <f t="shared" si="1"/>
        <v>8587052.7865200005</v>
      </c>
      <c r="Y10" s="65">
        <f t="shared" si="1"/>
        <v>8587052.7865200005</v>
      </c>
      <c r="Z10" s="65">
        <f t="shared" si="1"/>
        <v>11449403.715360001</v>
      </c>
      <c r="AA10" s="65">
        <f t="shared" si="1"/>
        <v>5724701.8576800004</v>
      </c>
    </row>
    <row r="11" spans="1:28" s="65" customFormat="1">
      <c r="C11" s="65">
        <f>+C10*C7</f>
        <v>529534921.83540004</v>
      </c>
      <c r="R11" s="66"/>
    </row>
    <row r="12" spans="1:28" s="65" customFormat="1">
      <c r="R12" s="66"/>
    </row>
    <row r="13" spans="1:28" ht="15">
      <c r="C13" s="79" t="s">
        <v>731</v>
      </c>
      <c r="D13" s="79" t="s">
        <v>730</v>
      </c>
      <c r="E13" s="88" t="s">
        <v>732</v>
      </c>
      <c r="R13" s="66"/>
    </row>
    <row r="14" spans="1:28">
      <c r="B14" t="s">
        <v>729</v>
      </c>
      <c r="C14" s="65">
        <f>+((C10/30)*13)*C7</f>
        <v>229465132.79534003</v>
      </c>
      <c r="D14" s="78">
        <f>+'para facturar'!H2</f>
        <v>517990108</v>
      </c>
      <c r="E14" s="78">
        <f>+(C14-D14)/C10</f>
        <v>-100.80000055115111</v>
      </c>
      <c r="R14" s="66"/>
    </row>
    <row r="15" spans="1:28">
      <c r="B15" t="s">
        <v>759</v>
      </c>
      <c r="C15" s="65"/>
      <c r="R15" s="66"/>
    </row>
    <row r="16" spans="1:28">
      <c r="B16" t="s">
        <v>760</v>
      </c>
      <c r="R16" s="66"/>
    </row>
    <row r="17" spans="18:18">
      <c r="R17" s="66"/>
    </row>
    <row r="18" spans="18:18">
      <c r="R18" s="66"/>
    </row>
    <row r="19" spans="18:18">
      <c r="R19" s="66"/>
    </row>
    <row r="20" spans="18:18">
      <c r="R20" s="66"/>
    </row>
    <row r="21" spans="18:18">
      <c r="R21" s="66"/>
    </row>
    <row r="22" spans="18:18">
      <c r="R22" s="66"/>
    </row>
    <row r="23" spans="18:18">
      <c r="R23" s="66"/>
    </row>
    <row r="24" spans="18:18">
      <c r="R24" s="66"/>
    </row>
    <row r="25" spans="18:18">
      <c r="R25" s="66"/>
    </row>
    <row r="26" spans="18:18">
      <c r="R26" s="66"/>
    </row>
    <row r="27" spans="18:18">
      <c r="R27" s="66"/>
    </row>
    <row r="28" spans="18:18">
      <c r="R28" s="66"/>
    </row>
    <row r="29" spans="18:18">
      <c r="R29" s="66"/>
    </row>
    <row r="30" spans="18:18">
      <c r="R30" s="66"/>
    </row>
    <row r="31" spans="18:18">
      <c r="R31" s="66"/>
    </row>
    <row r="32" spans="18:18">
      <c r="R32" s="66"/>
    </row>
    <row r="33" spans="18:18">
      <c r="R33" s="66"/>
    </row>
    <row r="34" spans="18:18">
      <c r="R34" s="66"/>
    </row>
    <row r="35" spans="18:18">
      <c r="R35" s="66"/>
    </row>
    <row r="36" spans="18:18">
      <c r="R36" s="66"/>
    </row>
    <row r="37" spans="18:18">
      <c r="R37" s="66"/>
    </row>
    <row r="38" spans="18:18">
      <c r="R38" s="66"/>
    </row>
    <row r="39" spans="18:18">
      <c r="R39" s="66"/>
    </row>
    <row r="40" spans="18:18">
      <c r="R40" s="66"/>
    </row>
    <row r="41" spans="18:18">
      <c r="R41" s="66"/>
    </row>
    <row r="42" spans="18:18">
      <c r="R42" s="66"/>
    </row>
    <row r="43" spans="18:18">
      <c r="R43" s="66"/>
    </row>
    <row r="44" spans="18:18">
      <c r="R44" s="66"/>
    </row>
    <row r="45" spans="18:18">
      <c r="R45" s="66"/>
    </row>
    <row r="46" spans="18:18">
      <c r="R46" s="66"/>
    </row>
    <row r="47" spans="18:18">
      <c r="R47" s="66"/>
    </row>
    <row r="48" spans="18:18">
      <c r="R48" s="66"/>
    </row>
    <row r="49" spans="18:18">
      <c r="R49" s="66"/>
    </row>
    <row r="50" spans="18:18">
      <c r="R50" s="66"/>
    </row>
    <row r="51" spans="18:18">
      <c r="R51" s="66"/>
    </row>
    <row r="52" spans="18:18">
      <c r="R52" s="66"/>
    </row>
    <row r="53" spans="18:18">
      <c r="R53" s="66"/>
    </row>
    <row r="54" spans="18:18">
      <c r="R54" s="66"/>
    </row>
    <row r="55" spans="18:18">
      <c r="R55" s="66"/>
    </row>
    <row r="56" spans="18:18">
      <c r="R56" s="66"/>
    </row>
    <row r="57" spans="18:18">
      <c r="R57" s="66"/>
    </row>
    <row r="58" spans="18:18">
      <c r="R58" s="66"/>
    </row>
    <row r="59" spans="18:18">
      <c r="R59" s="66"/>
    </row>
    <row r="60" spans="18:18">
      <c r="R60" s="66"/>
    </row>
    <row r="61" spans="18:18">
      <c r="R61" s="66"/>
    </row>
    <row r="62" spans="18:18">
      <c r="R62" s="66"/>
    </row>
    <row r="63" spans="18:18">
      <c r="R63" s="66"/>
    </row>
    <row r="64" spans="18:18">
      <c r="R64" s="66"/>
    </row>
    <row r="65" spans="18:18">
      <c r="R65" s="66"/>
    </row>
    <row r="66" spans="18:18">
      <c r="R66" s="66"/>
    </row>
    <row r="67" spans="18:18">
      <c r="R67" s="66"/>
    </row>
    <row r="68" spans="18:18">
      <c r="R68" s="66"/>
    </row>
    <row r="69" spans="18:18">
      <c r="R69" s="66"/>
    </row>
    <row r="70" spans="18:18">
      <c r="R70" s="66"/>
    </row>
    <row r="71" spans="18:18">
      <c r="R71" s="66"/>
    </row>
    <row r="72" spans="18:18">
      <c r="R72" s="66"/>
    </row>
    <row r="73" spans="18:18">
      <c r="R73" s="66"/>
    </row>
    <row r="74" spans="18:18">
      <c r="R74" s="66"/>
    </row>
    <row r="75" spans="18:18">
      <c r="R75" s="66"/>
    </row>
    <row r="76" spans="18:18">
      <c r="R76" s="66"/>
    </row>
    <row r="77" spans="18:18">
      <c r="R77" s="66"/>
    </row>
    <row r="78" spans="18:18">
      <c r="R78" s="66"/>
    </row>
    <row r="79" spans="18:18">
      <c r="R79" s="66"/>
    </row>
    <row r="80" spans="18:18">
      <c r="R80" s="66"/>
    </row>
    <row r="81" spans="18:18">
      <c r="R81" s="66"/>
    </row>
    <row r="82" spans="18:18">
      <c r="R82" s="66"/>
    </row>
    <row r="83" spans="18:18">
      <c r="R83" s="66"/>
    </row>
    <row r="84" spans="18:18">
      <c r="R84" s="66"/>
    </row>
    <row r="85" spans="18:18">
      <c r="R85" s="66"/>
    </row>
    <row r="86" spans="18:18">
      <c r="R86" s="66"/>
    </row>
    <row r="87" spans="18:18">
      <c r="R87" s="66"/>
    </row>
    <row r="88" spans="18:18">
      <c r="R88" s="66"/>
    </row>
    <row r="89" spans="18:18">
      <c r="R89" s="66"/>
    </row>
    <row r="90" spans="18:18">
      <c r="R90" s="66"/>
    </row>
    <row r="91" spans="18:18">
      <c r="R91" s="66"/>
    </row>
    <row r="92" spans="18:18">
      <c r="R92" s="66"/>
    </row>
    <row r="93" spans="18:18">
      <c r="R93" s="66"/>
    </row>
    <row r="94" spans="18:18">
      <c r="R94" s="66"/>
    </row>
    <row r="95" spans="18:18">
      <c r="R95" s="66"/>
    </row>
    <row r="96" spans="18:18">
      <c r="R96" s="66"/>
    </row>
    <row r="97" spans="18:18">
      <c r="R97" s="66"/>
    </row>
    <row r="98" spans="18:18">
      <c r="R98" s="66"/>
    </row>
    <row r="99" spans="18:18">
      <c r="R99" s="66"/>
    </row>
    <row r="100" spans="18:18">
      <c r="R100" s="66"/>
    </row>
    <row r="101" spans="18:18">
      <c r="R101" s="66"/>
    </row>
    <row r="102" spans="18:18">
      <c r="R102" s="66"/>
    </row>
    <row r="103" spans="18:18">
      <c r="R103" s="66"/>
    </row>
    <row r="104" spans="18:18">
      <c r="R104" s="66"/>
    </row>
    <row r="105" spans="18:18">
      <c r="R105" s="66"/>
    </row>
    <row r="106" spans="18:18">
      <c r="R106" s="66"/>
    </row>
    <row r="107" spans="18:18">
      <c r="R107" s="66"/>
    </row>
    <row r="108" spans="18:18">
      <c r="R108" s="66"/>
    </row>
    <row r="109" spans="18:18">
      <c r="R109" s="66"/>
    </row>
    <row r="110" spans="18:18">
      <c r="R110" s="66"/>
    </row>
    <row r="111" spans="18:18">
      <c r="R111" s="66"/>
    </row>
    <row r="112" spans="18:18">
      <c r="R112" s="66"/>
    </row>
    <row r="113" spans="18:18">
      <c r="R113" s="66"/>
    </row>
    <row r="114" spans="18:18">
      <c r="R114" s="66"/>
    </row>
    <row r="115" spans="18:18">
      <c r="R115" s="66"/>
    </row>
    <row r="116" spans="18:18">
      <c r="R116" s="66"/>
    </row>
    <row r="117" spans="18:18">
      <c r="R117" s="66"/>
    </row>
    <row r="118" spans="18:18">
      <c r="R118" s="66"/>
    </row>
    <row r="119" spans="18:18">
      <c r="R119" s="66"/>
    </row>
    <row r="120" spans="18:18">
      <c r="R120" s="66"/>
    </row>
    <row r="121" spans="18:18">
      <c r="R121" s="66"/>
    </row>
    <row r="122" spans="18:18">
      <c r="R122" s="66"/>
    </row>
    <row r="123" spans="18:18">
      <c r="R123" s="66"/>
    </row>
    <row r="124" spans="18:18">
      <c r="R124" s="66"/>
    </row>
    <row r="125" spans="18:18">
      <c r="R125" s="66"/>
    </row>
    <row r="126" spans="18:18">
      <c r="R126" s="66"/>
    </row>
    <row r="127" spans="18:18">
      <c r="R127" s="66"/>
    </row>
    <row r="128" spans="18:18">
      <c r="R128" s="66"/>
    </row>
    <row r="129" spans="18:18">
      <c r="R129" s="66"/>
    </row>
    <row r="130" spans="18:18">
      <c r="R130" s="66"/>
    </row>
    <row r="131" spans="18:18">
      <c r="R131" s="66"/>
    </row>
    <row r="132" spans="18:18">
      <c r="R132" s="66"/>
    </row>
    <row r="133" spans="18:18">
      <c r="R133" s="66"/>
    </row>
    <row r="134" spans="18:18">
      <c r="R134" s="66"/>
    </row>
    <row r="135" spans="18:18">
      <c r="R135" s="66"/>
    </row>
    <row r="136" spans="18:18">
      <c r="R136" s="66"/>
    </row>
    <row r="137" spans="18:18">
      <c r="R137" s="66"/>
    </row>
    <row r="138" spans="18:18">
      <c r="R138" s="66"/>
    </row>
    <row r="139" spans="18:18">
      <c r="R139" s="66"/>
    </row>
    <row r="140" spans="18:18">
      <c r="R140" s="66"/>
    </row>
    <row r="141" spans="18:18">
      <c r="R141" s="66"/>
    </row>
    <row r="142" spans="18:18">
      <c r="R142" s="66"/>
    </row>
    <row r="143" spans="18:18">
      <c r="R143" s="66"/>
    </row>
    <row r="144" spans="18:18">
      <c r="R144" s="66"/>
    </row>
    <row r="145" spans="18:18">
      <c r="R145" s="66"/>
    </row>
    <row r="146" spans="18:18">
      <c r="R146" s="66"/>
    </row>
    <row r="147" spans="18:18">
      <c r="R147" s="66"/>
    </row>
    <row r="148" spans="18:18">
      <c r="R148" s="66"/>
    </row>
    <row r="149" spans="18:18">
      <c r="R149" s="66"/>
    </row>
    <row r="150" spans="18:18">
      <c r="R150" s="66"/>
    </row>
    <row r="151" spans="18:18">
      <c r="R151" s="66"/>
    </row>
    <row r="152" spans="18:18">
      <c r="R152" s="66"/>
    </row>
    <row r="153" spans="18:18">
      <c r="R153" s="66"/>
    </row>
    <row r="154" spans="18:18">
      <c r="R154" s="66"/>
    </row>
    <row r="155" spans="18:18">
      <c r="R155" s="66"/>
    </row>
    <row r="156" spans="18:18">
      <c r="R156" s="66"/>
    </row>
    <row r="157" spans="18:18">
      <c r="R157" s="66"/>
    </row>
    <row r="158" spans="18:18">
      <c r="R158" s="66"/>
    </row>
    <row r="159" spans="18:18">
      <c r="R159" s="66"/>
    </row>
    <row r="160" spans="18:18">
      <c r="R160" s="66"/>
    </row>
    <row r="161" spans="18:18">
      <c r="R161" s="66"/>
    </row>
    <row r="162" spans="18:18">
      <c r="R162" s="66"/>
    </row>
    <row r="163" spans="18:18">
      <c r="R163" s="66"/>
    </row>
    <row r="164" spans="18:18">
      <c r="R164" s="66"/>
    </row>
    <row r="165" spans="18:18">
      <c r="R165" s="66"/>
    </row>
    <row r="166" spans="18:18">
      <c r="R166" s="66"/>
    </row>
    <row r="167" spans="18:18">
      <c r="R167" s="66"/>
    </row>
    <row r="168" spans="18:18">
      <c r="R168" s="66"/>
    </row>
    <row r="169" spans="18:18">
      <c r="R169" s="66"/>
    </row>
    <row r="170" spans="18:18">
      <c r="R170" s="66"/>
    </row>
    <row r="171" spans="18:18">
      <c r="R171" s="66"/>
    </row>
    <row r="172" spans="18:18">
      <c r="R172" s="66"/>
    </row>
    <row r="173" spans="18:18">
      <c r="R173" s="66"/>
    </row>
    <row r="174" spans="18:18">
      <c r="R174" s="66"/>
    </row>
    <row r="175" spans="18:18">
      <c r="R175" s="66"/>
    </row>
    <row r="176" spans="18:18">
      <c r="R176" s="66"/>
    </row>
    <row r="177" spans="1:18">
      <c r="R177" s="66"/>
    </row>
    <row r="178" spans="1:18">
      <c r="R178" s="66"/>
    </row>
    <row r="179" spans="1:18">
      <c r="R179" s="66"/>
    </row>
    <row r="180" spans="1:18">
      <c r="R180" s="66"/>
    </row>
    <row r="181" spans="1:18">
      <c r="R181" s="66"/>
    </row>
    <row r="182" spans="1:18">
      <c r="R182" s="66"/>
    </row>
    <row r="183" spans="1:18">
      <c r="R183" s="66"/>
    </row>
    <row r="184" spans="1:18">
      <c r="R184" s="66"/>
    </row>
    <row r="185" spans="1:18">
      <c r="R185" s="66"/>
    </row>
    <row r="186" spans="1:18">
      <c r="R186" s="66"/>
    </row>
    <row r="187" spans="1:18">
      <c r="R187" s="66"/>
    </row>
    <row r="188" spans="1:18">
      <c r="R188" s="66"/>
    </row>
    <row r="189" spans="1:18">
      <c r="R189" s="66"/>
    </row>
    <row r="190" spans="1:18" s="68" customFormat="1" ht="28.5" customHeight="1">
      <c r="A190" s="218" t="s">
        <v>694</v>
      </c>
      <c r="B190" s="218"/>
      <c r="C190" s="218"/>
      <c r="D190" s="218"/>
      <c r="E190" s="218"/>
      <c r="F190" s="218"/>
      <c r="G190" s="218"/>
      <c r="H190" s="218"/>
      <c r="I190" s="218"/>
      <c r="J190" s="218"/>
      <c r="K190" s="218"/>
      <c r="L190" s="218"/>
      <c r="M190" s="218"/>
      <c r="N190" s="218"/>
      <c r="O190" s="218"/>
      <c r="P190" s="67"/>
      <c r="R190" s="67"/>
    </row>
  </sheetData>
  <mergeCells count="2">
    <mergeCell ref="A7:B7"/>
    <mergeCell ref="A190:O190"/>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A266"/>
  <sheetViews>
    <sheetView topLeftCell="B1" zoomScaleNormal="100" workbookViewId="0">
      <pane ySplit="1" topLeftCell="A52" activePane="bottomLeft" state="frozen"/>
      <selection activeCell="D14" sqref="D14"/>
      <selection pane="bottomLeft" activeCell="O53" sqref="O53"/>
    </sheetView>
  </sheetViews>
  <sheetFormatPr baseColWidth="10" defaultColWidth="11.375" defaultRowHeight="15.6" customHeight="1"/>
  <cols>
    <col min="1" max="1" width="7.375" style="69" customWidth="1"/>
    <col min="2" max="2" width="18.25" style="69" customWidth="1"/>
    <col min="3" max="3" width="15.625" style="69" customWidth="1"/>
    <col min="4" max="4" width="16.125" style="69" customWidth="1"/>
    <col min="5" max="6" width="12.875" style="69" customWidth="1"/>
    <col min="7" max="7" width="17.375" style="106" customWidth="1"/>
    <col min="8" max="8" width="13.75" style="69" customWidth="1"/>
    <col min="9" max="9" width="7.375" style="69" customWidth="1"/>
    <col min="10" max="10" width="4.625" style="69" customWidth="1"/>
    <col min="11" max="11" width="16.625" style="195" hidden="1" customWidth="1"/>
    <col min="12" max="12" width="21.5" style="195" bestFit="1" customWidth="1"/>
    <col min="13" max="13" width="10.5" style="195" bestFit="1" customWidth="1"/>
    <col min="14" max="14" width="10.625" style="195" bestFit="1" customWidth="1"/>
    <col min="15" max="15" width="25.125" style="195" bestFit="1" customWidth="1"/>
    <col min="16" max="16" width="19.625" style="195" customWidth="1"/>
    <col min="17" max="17" width="3.375" style="195" hidden="1" customWidth="1"/>
    <col min="18" max="18" width="15.125" style="195" hidden="1" customWidth="1"/>
    <col min="19" max="19" width="18.75" style="195" hidden="1" customWidth="1"/>
    <col min="20" max="20" width="9.625" style="69" hidden="1" customWidth="1"/>
    <col min="21" max="24" width="19.875" style="195" customWidth="1"/>
    <col min="25" max="25" width="11.125" style="195" customWidth="1"/>
    <col min="26" max="26" width="15.125" style="69" bestFit="1" customWidth="1"/>
    <col min="27" max="27" width="14.125" style="69" bestFit="1" customWidth="1"/>
    <col min="28" max="16384" width="11.375" style="69"/>
  </cols>
  <sheetData>
    <row r="1" spans="1:25" ht="15.6" customHeight="1">
      <c r="A1" s="3" t="s">
        <v>0</v>
      </c>
      <c r="B1" s="3" t="s">
        <v>1</v>
      </c>
      <c r="C1" s="3" t="s">
        <v>2</v>
      </c>
      <c r="D1" s="3" t="s">
        <v>3</v>
      </c>
      <c r="E1" s="3" t="s">
        <v>4</v>
      </c>
      <c r="F1" s="3" t="s">
        <v>5</v>
      </c>
      <c r="G1" s="3" t="s">
        <v>6</v>
      </c>
      <c r="H1" s="3" t="s">
        <v>7</v>
      </c>
      <c r="I1" s="4" t="s">
        <v>434</v>
      </c>
      <c r="J1" s="4" t="s">
        <v>8</v>
      </c>
      <c r="K1" s="187" t="s">
        <v>691</v>
      </c>
      <c r="L1" s="135" t="s">
        <v>435</v>
      </c>
      <c r="M1" s="136" t="s">
        <v>436</v>
      </c>
      <c r="N1" s="136" t="s">
        <v>437</v>
      </c>
      <c r="O1" s="136" t="s">
        <v>679</v>
      </c>
      <c r="P1" s="137" t="s">
        <v>678</v>
      </c>
      <c r="Q1" s="137" t="s">
        <v>693</v>
      </c>
      <c r="R1" s="137" t="s">
        <v>775</v>
      </c>
      <c r="S1" s="137" t="s">
        <v>776</v>
      </c>
      <c r="T1" s="2" t="s">
        <v>777</v>
      </c>
      <c r="U1" s="136" t="s">
        <v>695</v>
      </c>
      <c r="V1" s="137" t="s">
        <v>809</v>
      </c>
      <c r="W1" s="137" t="s">
        <v>810</v>
      </c>
      <c r="X1" s="137" t="s">
        <v>811</v>
      </c>
      <c r="Y1" s="137" t="s">
        <v>812</v>
      </c>
    </row>
    <row r="2" spans="1:25" ht="15.6" customHeight="1">
      <c r="A2" s="115" t="s">
        <v>766</v>
      </c>
      <c r="B2" s="119">
        <v>4266714</v>
      </c>
      <c r="C2" s="7" t="s">
        <v>321</v>
      </c>
      <c r="D2" s="7" t="s">
        <v>291</v>
      </c>
      <c r="E2" s="7" t="s">
        <v>209</v>
      </c>
      <c r="F2" s="7" t="s">
        <v>99</v>
      </c>
      <c r="G2" s="114" t="s">
        <v>13</v>
      </c>
      <c r="H2" s="7" t="s">
        <v>14</v>
      </c>
      <c r="I2" s="64"/>
      <c r="J2" s="119">
        <v>30</v>
      </c>
      <c r="K2" s="138">
        <v>2465868</v>
      </c>
      <c r="L2" s="139">
        <v>2557954.36</v>
      </c>
      <c r="M2" s="140">
        <f t="shared" ref="M2:M32" si="0">+L2*10%</f>
        <v>255795.43599999999</v>
      </c>
      <c r="N2" s="140">
        <f t="shared" ref="N2:N32" si="1">+M2*19%</f>
        <v>48601.132839999998</v>
      </c>
      <c r="O2" s="140">
        <f t="shared" ref="O2:O32" si="2">+L2+M2+N2</f>
        <v>2862350.9288400002</v>
      </c>
      <c r="P2" s="140">
        <f t="shared" ref="P2:P62" si="3">+ROUND(((O2/30)*J2),0)</f>
        <v>2862351</v>
      </c>
      <c r="Q2" s="141"/>
      <c r="R2" s="142">
        <v>1390000</v>
      </c>
      <c r="S2" s="142">
        <v>1440800</v>
      </c>
      <c r="T2" s="111" t="s">
        <v>841</v>
      </c>
      <c r="U2" s="140">
        <f>+ROUND(((L2/30)*J2),0)</f>
        <v>2557954</v>
      </c>
      <c r="V2" s="188">
        <f>+U2*10%</f>
        <v>255795.40000000002</v>
      </c>
      <c r="W2" s="188">
        <f>+V2*19%</f>
        <v>48601.126000000004</v>
      </c>
      <c r="X2" s="188">
        <f>+ROUND((U2+V2+W2),0)</f>
        <v>2862351</v>
      </c>
      <c r="Y2" s="188">
        <f>+X2-P2</f>
        <v>0</v>
      </c>
    </row>
    <row r="3" spans="1:25" ht="15.6" customHeight="1">
      <c r="A3" s="115" t="s">
        <v>766</v>
      </c>
      <c r="B3" s="119">
        <v>53005655</v>
      </c>
      <c r="C3" s="7" t="s">
        <v>52</v>
      </c>
      <c r="D3" s="7"/>
      <c r="E3" s="7" t="s">
        <v>53</v>
      </c>
      <c r="F3" s="7" t="s">
        <v>54</v>
      </c>
      <c r="G3" s="114" t="s">
        <v>191</v>
      </c>
      <c r="H3" s="7" t="s">
        <v>14</v>
      </c>
      <c r="I3" s="64"/>
      <c r="J3" s="119">
        <v>28</v>
      </c>
      <c r="K3" s="138">
        <v>2465868</v>
      </c>
      <c r="L3" s="139">
        <v>2557954.36</v>
      </c>
      <c r="M3" s="140">
        <f>+L3*10%</f>
        <v>255795.43599999999</v>
      </c>
      <c r="N3" s="140">
        <f>+M3*19%</f>
        <v>48601.132839999998</v>
      </c>
      <c r="O3" s="140">
        <f>+L3+M3+N3</f>
        <v>2862350.9288400002</v>
      </c>
      <c r="P3" s="140">
        <f>+ROUND(((O3/30)*J3),0)</f>
        <v>2671528</v>
      </c>
      <c r="Q3" s="142" t="s">
        <v>863</v>
      </c>
      <c r="R3" s="143">
        <v>1300000</v>
      </c>
      <c r="S3" s="142">
        <v>1267467</v>
      </c>
      <c r="T3" s="111" t="s">
        <v>841</v>
      </c>
      <c r="U3" s="140">
        <f>+ROUND(((L3/30)*J3),0)</f>
        <v>2387424</v>
      </c>
      <c r="V3" s="188">
        <f t="shared" ref="V3:V65" si="4">+U3*10%</f>
        <v>238742.40000000002</v>
      </c>
      <c r="W3" s="188">
        <f t="shared" ref="W3:W65" si="5">+V3*19%</f>
        <v>45361.056000000004</v>
      </c>
      <c r="X3" s="188">
        <f t="shared" ref="X3:X65" si="6">+ROUND((U3+V3+W3),0)</f>
        <v>2671527</v>
      </c>
      <c r="Y3" s="188">
        <f t="shared" ref="Y3:Y65" si="7">+X3-P3</f>
        <v>-1</v>
      </c>
    </row>
    <row r="4" spans="1:25" ht="15.6" customHeight="1">
      <c r="A4" s="115" t="s">
        <v>766</v>
      </c>
      <c r="B4" s="119">
        <v>35602050</v>
      </c>
      <c r="C4" s="7" t="s">
        <v>49</v>
      </c>
      <c r="D4" s="7" t="s">
        <v>50</v>
      </c>
      <c r="E4" s="7" t="s">
        <v>51</v>
      </c>
      <c r="F4" s="7"/>
      <c r="G4" s="114" t="s">
        <v>191</v>
      </c>
      <c r="H4" s="7" t="s">
        <v>14</v>
      </c>
      <c r="I4" s="64"/>
      <c r="J4" s="119">
        <v>30</v>
      </c>
      <c r="K4" s="138">
        <v>2465868</v>
      </c>
      <c r="L4" s="139">
        <v>2557954.36</v>
      </c>
      <c r="M4" s="140">
        <f t="shared" si="0"/>
        <v>255795.43599999999</v>
      </c>
      <c r="N4" s="140">
        <f t="shared" si="1"/>
        <v>48601.132839999998</v>
      </c>
      <c r="O4" s="140">
        <f t="shared" si="2"/>
        <v>2862350.9288400002</v>
      </c>
      <c r="P4" s="140">
        <f t="shared" si="3"/>
        <v>2862351</v>
      </c>
      <c r="Q4" s="141"/>
      <c r="R4" s="144">
        <v>1300000</v>
      </c>
      <c r="S4" s="142">
        <v>1358000</v>
      </c>
      <c r="T4" s="111" t="s">
        <v>841</v>
      </c>
      <c r="U4" s="140">
        <f t="shared" ref="U4:U63" si="8">+ROUND(((L4/30)*J4),0)</f>
        <v>2557954</v>
      </c>
      <c r="V4" s="188">
        <f t="shared" si="4"/>
        <v>255795.40000000002</v>
      </c>
      <c r="W4" s="188">
        <f t="shared" si="5"/>
        <v>48601.126000000004</v>
      </c>
      <c r="X4" s="188">
        <f t="shared" si="6"/>
        <v>2862351</v>
      </c>
      <c r="Y4" s="188">
        <f t="shared" si="7"/>
        <v>0</v>
      </c>
    </row>
    <row r="5" spans="1:25" ht="15.6" customHeight="1">
      <c r="A5" s="115" t="s">
        <v>766</v>
      </c>
      <c r="B5" s="119">
        <v>37342544</v>
      </c>
      <c r="C5" s="7" t="s">
        <v>252</v>
      </c>
      <c r="D5" s="7"/>
      <c r="E5" s="7" t="s">
        <v>253</v>
      </c>
      <c r="F5" s="7"/>
      <c r="G5" s="114" t="s">
        <v>191</v>
      </c>
      <c r="H5" s="7" t="s">
        <v>14</v>
      </c>
      <c r="I5" s="64"/>
      <c r="J5" s="119">
        <v>30</v>
      </c>
      <c r="K5" s="138">
        <v>2465868</v>
      </c>
      <c r="L5" s="139">
        <v>2557954.36</v>
      </c>
      <c r="M5" s="140">
        <f t="shared" si="0"/>
        <v>255795.43599999999</v>
      </c>
      <c r="N5" s="140">
        <f t="shared" si="1"/>
        <v>48601.132839999998</v>
      </c>
      <c r="O5" s="140">
        <f t="shared" si="2"/>
        <v>2862350.9288400002</v>
      </c>
      <c r="P5" s="140">
        <f t="shared" si="3"/>
        <v>2862351</v>
      </c>
      <c r="Q5" s="141"/>
      <c r="R5" s="144">
        <v>1300000</v>
      </c>
      <c r="S5" s="142">
        <v>1358000</v>
      </c>
      <c r="T5" s="111" t="s">
        <v>841</v>
      </c>
      <c r="U5" s="140">
        <f t="shared" si="8"/>
        <v>2557954</v>
      </c>
      <c r="V5" s="188">
        <f t="shared" si="4"/>
        <v>255795.40000000002</v>
      </c>
      <c r="W5" s="188">
        <f t="shared" si="5"/>
        <v>48601.126000000004</v>
      </c>
      <c r="X5" s="188">
        <f t="shared" si="6"/>
        <v>2862351</v>
      </c>
      <c r="Y5" s="188">
        <f t="shared" si="7"/>
        <v>0</v>
      </c>
    </row>
    <row r="6" spans="1:25" ht="15.6" customHeight="1">
      <c r="A6" s="115" t="s">
        <v>766</v>
      </c>
      <c r="B6" s="119">
        <v>39801161</v>
      </c>
      <c r="C6" s="7" t="s">
        <v>287</v>
      </c>
      <c r="D6" s="7" t="s">
        <v>122</v>
      </c>
      <c r="E6" s="7" t="s">
        <v>20</v>
      </c>
      <c r="F6" s="7" t="s">
        <v>167</v>
      </c>
      <c r="G6" s="114" t="s">
        <v>191</v>
      </c>
      <c r="H6" s="7" t="s">
        <v>354</v>
      </c>
      <c r="I6" s="64"/>
      <c r="J6" s="119">
        <v>30</v>
      </c>
      <c r="K6" s="138">
        <v>2465868</v>
      </c>
      <c r="L6" s="139">
        <v>2557954.36</v>
      </c>
      <c r="M6" s="140">
        <f t="shared" si="0"/>
        <v>255795.43599999999</v>
      </c>
      <c r="N6" s="140">
        <f t="shared" si="1"/>
        <v>48601.132839999998</v>
      </c>
      <c r="O6" s="140">
        <f t="shared" si="2"/>
        <v>2862350.9288400002</v>
      </c>
      <c r="P6" s="140">
        <f t="shared" si="3"/>
        <v>2862351</v>
      </c>
      <c r="Q6" s="141"/>
      <c r="R6" s="144">
        <v>1300000</v>
      </c>
      <c r="S6" s="145">
        <v>1358000</v>
      </c>
      <c r="T6" s="114" t="s">
        <v>844</v>
      </c>
      <c r="U6" s="140">
        <f t="shared" si="8"/>
        <v>2557954</v>
      </c>
      <c r="V6" s="188">
        <f t="shared" si="4"/>
        <v>255795.40000000002</v>
      </c>
      <c r="W6" s="188">
        <f t="shared" si="5"/>
        <v>48601.126000000004</v>
      </c>
      <c r="X6" s="188">
        <f t="shared" si="6"/>
        <v>2862351</v>
      </c>
      <c r="Y6" s="188">
        <f t="shared" si="7"/>
        <v>0</v>
      </c>
    </row>
    <row r="7" spans="1:25" ht="15.6" customHeight="1">
      <c r="A7" s="115" t="s">
        <v>766</v>
      </c>
      <c r="B7" s="119">
        <v>65799487</v>
      </c>
      <c r="C7" s="7" t="s">
        <v>785</v>
      </c>
      <c r="D7" s="7" t="s">
        <v>171</v>
      </c>
      <c r="E7" s="7" t="s">
        <v>71</v>
      </c>
      <c r="F7" s="7" t="s">
        <v>105</v>
      </c>
      <c r="G7" s="114" t="s">
        <v>191</v>
      </c>
      <c r="H7" s="64">
        <v>45461</v>
      </c>
      <c r="I7" s="64"/>
      <c r="J7" s="119">
        <v>30</v>
      </c>
      <c r="K7" s="138">
        <v>2465868</v>
      </c>
      <c r="L7" s="139">
        <v>2557954.36</v>
      </c>
      <c r="M7" s="140">
        <f>+L7*10%</f>
        <v>255795.43599999999</v>
      </c>
      <c r="N7" s="140">
        <f>+M7*19%</f>
        <v>48601.132839999998</v>
      </c>
      <c r="O7" s="140">
        <f>+L7+M7+N7</f>
        <v>2862350.9288400002</v>
      </c>
      <c r="P7" s="140">
        <f>+ROUND(((O7/30)*J7),0)</f>
        <v>2862351</v>
      </c>
      <c r="Q7" s="141"/>
      <c r="R7" s="144">
        <v>1300000</v>
      </c>
      <c r="S7" s="145">
        <v>1358000</v>
      </c>
      <c r="T7" s="114" t="s">
        <v>852</v>
      </c>
      <c r="U7" s="140">
        <f>+ROUND(((L7/30)*J7),0)</f>
        <v>2557954</v>
      </c>
      <c r="V7" s="188">
        <f t="shared" si="4"/>
        <v>255795.40000000002</v>
      </c>
      <c r="W7" s="188">
        <f t="shared" si="5"/>
        <v>48601.126000000004</v>
      </c>
      <c r="X7" s="188">
        <f t="shared" si="6"/>
        <v>2862351</v>
      </c>
      <c r="Y7" s="188">
        <f t="shared" si="7"/>
        <v>0</v>
      </c>
    </row>
    <row r="8" spans="1:25" ht="15.6" customHeight="1">
      <c r="A8" s="115" t="s">
        <v>766</v>
      </c>
      <c r="B8" s="119">
        <v>1033745896</v>
      </c>
      <c r="C8" s="7" t="s">
        <v>786</v>
      </c>
      <c r="D8" s="7" t="s">
        <v>787</v>
      </c>
      <c r="E8" s="7" t="s">
        <v>788</v>
      </c>
      <c r="F8" s="7" t="s">
        <v>789</v>
      </c>
      <c r="G8" s="114" t="s">
        <v>191</v>
      </c>
      <c r="H8" s="64">
        <v>45444</v>
      </c>
      <c r="I8" s="64"/>
      <c r="J8" s="119">
        <v>30</v>
      </c>
      <c r="K8" s="138">
        <v>2465868</v>
      </c>
      <c r="L8" s="139">
        <v>2557954.36</v>
      </c>
      <c r="M8" s="140">
        <f t="shared" si="0"/>
        <v>255795.43599999999</v>
      </c>
      <c r="N8" s="140">
        <f t="shared" si="1"/>
        <v>48601.132839999998</v>
      </c>
      <c r="O8" s="140">
        <f t="shared" si="2"/>
        <v>2862350.9288400002</v>
      </c>
      <c r="P8" s="140">
        <f t="shared" si="3"/>
        <v>2862351</v>
      </c>
      <c r="Q8" s="141"/>
      <c r="R8" s="144">
        <v>1300000</v>
      </c>
      <c r="S8" s="142">
        <v>1358000</v>
      </c>
      <c r="T8" s="111" t="s">
        <v>857</v>
      </c>
      <c r="U8" s="140">
        <f t="shared" si="8"/>
        <v>2557954</v>
      </c>
      <c r="V8" s="188">
        <f t="shared" si="4"/>
        <v>255795.40000000002</v>
      </c>
      <c r="W8" s="188">
        <f t="shared" si="5"/>
        <v>48601.126000000004</v>
      </c>
      <c r="X8" s="188">
        <f t="shared" si="6"/>
        <v>2862351</v>
      </c>
      <c r="Y8" s="188">
        <f t="shared" si="7"/>
        <v>0</v>
      </c>
    </row>
    <row r="9" spans="1:25" ht="15.6" customHeight="1">
      <c r="A9" s="115" t="s">
        <v>766</v>
      </c>
      <c r="B9" s="119">
        <v>1133674125</v>
      </c>
      <c r="C9" s="7" t="s">
        <v>171</v>
      </c>
      <c r="D9" s="7" t="s">
        <v>381</v>
      </c>
      <c r="E9" s="7" t="s">
        <v>109</v>
      </c>
      <c r="F9" s="7" t="s">
        <v>382</v>
      </c>
      <c r="G9" s="114" t="s">
        <v>210</v>
      </c>
      <c r="H9" s="7" t="s">
        <v>14</v>
      </c>
      <c r="I9" s="64"/>
      <c r="J9" s="119">
        <v>30</v>
      </c>
      <c r="K9" s="138">
        <v>2465868</v>
      </c>
      <c r="L9" s="139">
        <v>2557954.36</v>
      </c>
      <c r="M9" s="140">
        <f>+L9*10%</f>
        <v>255795.43599999999</v>
      </c>
      <c r="N9" s="140">
        <f>+M9*19%</f>
        <v>48601.132839999998</v>
      </c>
      <c r="O9" s="140">
        <f>+L9+M9+N9</f>
        <v>2862350.9288400002</v>
      </c>
      <c r="P9" s="140">
        <f>+ROUND(((O9/30)*J9),0)</f>
        <v>2862351</v>
      </c>
      <c r="Q9" s="141"/>
      <c r="R9" s="142">
        <v>1356000</v>
      </c>
      <c r="S9" s="142">
        <v>1409520</v>
      </c>
      <c r="T9" s="111" t="s">
        <v>852</v>
      </c>
      <c r="U9" s="140">
        <f>+ROUND(((L9/30)*J9),0)</f>
        <v>2557954</v>
      </c>
      <c r="V9" s="188">
        <f t="shared" si="4"/>
        <v>255795.40000000002</v>
      </c>
      <c r="W9" s="188">
        <f t="shared" si="5"/>
        <v>48601.126000000004</v>
      </c>
      <c r="X9" s="188">
        <f t="shared" si="6"/>
        <v>2862351</v>
      </c>
      <c r="Y9" s="188">
        <f t="shared" si="7"/>
        <v>0</v>
      </c>
    </row>
    <row r="10" spans="1:25" ht="15.6" customHeight="1">
      <c r="A10" s="115" t="s">
        <v>766</v>
      </c>
      <c r="B10" s="119">
        <v>52292687</v>
      </c>
      <c r="C10" s="7" t="s">
        <v>318</v>
      </c>
      <c r="D10" s="7"/>
      <c r="E10" s="7" t="s">
        <v>47</v>
      </c>
      <c r="F10" s="7" t="s">
        <v>319</v>
      </c>
      <c r="G10" s="114" t="s">
        <v>191</v>
      </c>
      <c r="H10" s="7" t="s">
        <v>14</v>
      </c>
      <c r="I10" s="64"/>
      <c r="J10" s="119">
        <v>30</v>
      </c>
      <c r="K10" s="138">
        <v>2465868</v>
      </c>
      <c r="L10" s="139">
        <v>2557954.36</v>
      </c>
      <c r="M10" s="140">
        <f t="shared" si="0"/>
        <v>255795.43599999999</v>
      </c>
      <c r="N10" s="140">
        <f t="shared" si="1"/>
        <v>48601.132839999998</v>
      </c>
      <c r="O10" s="140">
        <f t="shared" si="2"/>
        <v>2862350.9288400002</v>
      </c>
      <c r="P10" s="140">
        <f t="shared" si="3"/>
        <v>2862351</v>
      </c>
      <c r="Q10" s="141"/>
      <c r="R10" s="144">
        <v>1300000</v>
      </c>
      <c r="S10" s="142">
        <v>1358000</v>
      </c>
      <c r="T10" s="111" t="s">
        <v>841</v>
      </c>
      <c r="U10" s="140">
        <f t="shared" si="8"/>
        <v>2557954</v>
      </c>
      <c r="V10" s="188">
        <f t="shared" si="4"/>
        <v>255795.40000000002</v>
      </c>
      <c r="W10" s="188">
        <f t="shared" si="5"/>
        <v>48601.126000000004</v>
      </c>
      <c r="X10" s="188">
        <f t="shared" si="6"/>
        <v>2862351</v>
      </c>
      <c r="Y10" s="188">
        <f t="shared" si="7"/>
        <v>0</v>
      </c>
    </row>
    <row r="11" spans="1:25" ht="15.6" customHeight="1">
      <c r="A11" s="115" t="s">
        <v>766</v>
      </c>
      <c r="B11" s="119">
        <v>52343346</v>
      </c>
      <c r="C11" s="7" t="s">
        <v>19</v>
      </c>
      <c r="D11" s="7" t="s">
        <v>289</v>
      </c>
      <c r="E11" s="7" t="s">
        <v>71</v>
      </c>
      <c r="F11" s="7" t="s">
        <v>290</v>
      </c>
      <c r="G11" s="114" t="s">
        <v>191</v>
      </c>
      <c r="H11" s="7" t="s">
        <v>14</v>
      </c>
      <c r="I11" s="64"/>
      <c r="J11" s="119">
        <v>30</v>
      </c>
      <c r="K11" s="138">
        <v>2465868</v>
      </c>
      <c r="L11" s="139">
        <v>2557954.36</v>
      </c>
      <c r="M11" s="140">
        <f t="shared" si="0"/>
        <v>255795.43599999999</v>
      </c>
      <c r="N11" s="140">
        <f t="shared" si="1"/>
        <v>48601.132839999998</v>
      </c>
      <c r="O11" s="140">
        <f t="shared" si="2"/>
        <v>2862350.9288400002</v>
      </c>
      <c r="P11" s="140">
        <f t="shared" si="3"/>
        <v>2862351</v>
      </c>
      <c r="Q11" s="146"/>
      <c r="R11" s="144">
        <v>1300000</v>
      </c>
      <c r="S11" s="144">
        <v>1358000</v>
      </c>
      <c r="T11" s="115" t="s">
        <v>841</v>
      </c>
      <c r="U11" s="140">
        <f t="shared" si="8"/>
        <v>2557954</v>
      </c>
      <c r="V11" s="188">
        <f t="shared" si="4"/>
        <v>255795.40000000002</v>
      </c>
      <c r="W11" s="188">
        <f t="shared" si="5"/>
        <v>48601.126000000004</v>
      </c>
      <c r="X11" s="188">
        <f t="shared" si="6"/>
        <v>2862351</v>
      </c>
      <c r="Y11" s="188">
        <f t="shared" si="7"/>
        <v>0</v>
      </c>
    </row>
    <row r="12" spans="1:25" ht="15.6" customHeight="1">
      <c r="A12" s="115" t="s">
        <v>766</v>
      </c>
      <c r="B12" s="119">
        <v>52348638</v>
      </c>
      <c r="C12" s="7" t="s">
        <v>114</v>
      </c>
      <c r="D12" s="7" t="s">
        <v>115</v>
      </c>
      <c r="E12" s="7" t="s">
        <v>116</v>
      </c>
      <c r="F12" s="7" t="s">
        <v>117</v>
      </c>
      <c r="G12" s="114" t="s">
        <v>191</v>
      </c>
      <c r="H12" s="7" t="s">
        <v>14</v>
      </c>
      <c r="I12" s="64"/>
      <c r="J12" s="119">
        <v>28</v>
      </c>
      <c r="K12" s="138">
        <v>2465868</v>
      </c>
      <c r="L12" s="139">
        <v>2557954.36</v>
      </c>
      <c r="M12" s="140">
        <f t="shared" si="0"/>
        <v>255795.43599999999</v>
      </c>
      <c r="N12" s="140">
        <f t="shared" si="1"/>
        <v>48601.132839999998</v>
      </c>
      <c r="O12" s="140">
        <f t="shared" si="2"/>
        <v>2862350.9288400002</v>
      </c>
      <c r="P12" s="140">
        <f t="shared" si="3"/>
        <v>2671528</v>
      </c>
      <c r="Q12" s="142" t="s">
        <v>835</v>
      </c>
      <c r="R12" s="143">
        <f>1213334+86667</f>
        <v>1300001</v>
      </c>
      <c r="S12" s="142">
        <v>1267467</v>
      </c>
      <c r="T12" s="111" t="s">
        <v>841</v>
      </c>
      <c r="U12" s="140">
        <f t="shared" si="8"/>
        <v>2387424</v>
      </c>
      <c r="V12" s="188">
        <f t="shared" si="4"/>
        <v>238742.40000000002</v>
      </c>
      <c r="W12" s="188">
        <f t="shared" si="5"/>
        <v>45361.056000000004</v>
      </c>
      <c r="X12" s="188">
        <f t="shared" si="6"/>
        <v>2671527</v>
      </c>
      <c r="Y12" s="188">
        <f t="shared" si="7"/>
        <v>-1</v>
      </c>
    </row>
    <row r="13" spans="1:25" ht="15.6" customHeight="1">
      <c r="A13" s="115" t="s">
        <v>766</v>
      </c>
      <c r="B13" s="119">
        <v>52505010</v>
      </c>
      <c r="C13" s="7" t="s">
        <v>135</v>
      </c>
      <c r="D13" s="7" t="s">
        <v>136</v>
      </c>
      <c r="E13" s="7" t="s">
        <v>137</v>
      </c>
      <c r="F13" s="7"/>
      <c r="G13" s="114" t="s">
        <v>191</v>
      </c>
      <c r="H13" s="7" t="s">
        <v>14</v>
      </c>
      <c r="I13" s="64"/>
      <c r="J13" s="119">
        <v>30</v>
      </c>
      <c r="K13" s="138">
        <v>2465868</v>
      </c>
      <c r="L13" s="139">
        <v>2557954.36</v>
      </c>
      <c r="M13" s="140">
        <f t="shared" si="0"/>
        <v>255795.43599999999</v>
      </c>
      <c r="N13" s="140">
        <f t="shared" si="1"/>
        <v>48601.132839999998</v>
      </c>
      <c r="O13" s="140">
        <f t="shared" si="2"/>
        <v>2862350.9288400002</v>
      </c>
      <c r="P13" s="140">
        <f t="shared" si="3"/>
        <v>2862351</v>
      </c>
      <c r="Q13" s="141"/>
      <c r="R13" s="144">
        <v>1300000</v>
      </c>
      <c r="S13" s="142">
        <v>1358000</v>
      </c>
      <c r="T13" s="111" t="s">
        <v>851</v>
      </c>
      <c r="U13" s="140">
        <f t="shared" si="8"/>
        <v>2557954</v>
      </c>
      <c r="V13" s="188">
        <f t="shared" si="4"/>
        <v>255795.40000000002</v>
      </c>
      <c r="W13" s="188">
        <f t="shared" si="5"/>
        <v>48601.126000000004</v>
      </c>
      <c r="X13" s="188">
        <f t="shared" si="6"/>
        <v>2862351</v>
      </c>
      <c r="Y13" s="188">
        <f t="shared" si="7"/>
        <v>0</v>
      </c>
    </row>
    <row r="14" spans="1:25" ht="15.6" customHeight="1">
      <c r="A14" s="115" t="s">
        <v>766</v>
      </c>
      <c r="B14" s="119">
        <v>52704600</v>
      </c>
      <c r="C14" s="7" t="s">
        <v>325</v>
      </c>
      <c r="D14" s="7" t="s">
        <v>312</v>
      </c>
      <c r="E14" s="7" t="s">
        <v>326</v>
      </c>
      <c r="F14" s="7" t="s">
        <v>327</v>
      </c>
      <c r="G14" s="114" t="s">
        <v>191</v>
      </c>
      <c r="H14" s="7" t="s">
        <v>14</v>
      </c>
      <c r="I14" s="64"/>
      <c r="J14" s="119">
        <v>30</v>
      </c>
      <c r="K14" s="138">
        <v>2465868</v>
      </c>
      <c r="L14" s="139">
        <v>2557954.36</v>
      </c>
      <c r="M14" s="140">
        <f t="shared" si="0"/>
        <v>255795.43599999999</v>
      </c>
      <c r="N14" s="140">
        <f t="shared" si="1"/>
        <v>48601.132839999998</v>
      </c>
      <c r="O14" s="140">
        <f t="shared" si="2"/>
        <v>2862350.9288400002</v>
      </c>
      <c r="P14" s="140">
        <f t="shared" si="3"/>
        <v>2862351</v>
      </c>
      <c r="Q14" s="141"/>
      <c r="R14" s="144">
        <v>1300000</v>
      </c>
      <c r="S14" s="142">
        <v>1437733</v>
      </c>
      <c r="T14" s="111" t="s">
        <v>841</v>
      </c>
      <c r="U14" s="140">
        <f t="shared" si="8"/>
        <v>2557954</v>
      </c>
      <c r="V14" s="188">
        <f t="shared" si="4"/>
        <v>255795.40000000002</v>
      </c>
      <c r="W14" s="188">
        <f t="shared" si="5"/>
        <v>48601.126000000004</v>
      </c>
      <c r="X14" s="188">
        <f t="shared" si="6"/>
        <v>2862351</v>
      </c>
      <c r="Y14" s="188">
        <f t="shared" si="7"/>
        <v>0</v>
      </c>
    </row>
    <row r="15" spans="1:25" ht="15.6" customHeight="1">
      <c r="A15" s="115" t="s">
        <v>766</v>
      </c>
      <c r="B15" s="119">
        <v>52734140</v>
      </c>
      <c r="C15" s="7" t="s">
        <v>69</v>
      </c>
      <c r="D15" s="7" t="s">
        <v>70</v>
      </c>
      <c r="E15" s="7" t="s">
        <v>71</v>
      </c>
      <c r="F15" s="7" t="s">
        <v>72</v>
      </c>
      <c r="G15" s="114" t="s">
        <v>191</v>
      </c>
      <c r="H15" s="7" t="s">
        <v>14</v>
      </c>
      <c r="I15" s="64"/>
      <c r="J15" s="119">
        <v>30</v>
      </c>
      <c r="K15" s="138">
        <v>2465868</v>
      </c>
      <c r="L15" s="139">
        <v>2557954.36</v>
      </c>
      <c r="M15" s="140">
        <f t="shared" si="0"/>
        <v>255795.43599999999</v>
      </c>
      <c r="N15" s="140">
        <f t="shared" si="1"/>
        <v>48601.132839999998</v>
      </c>
      <c r="O15" s="140">
        <f t="shared" si="2"/>
        <v>2862350.9288400002</v>
      </c>
      <c r="P15" s="140">
        <f t="shared" si="3"/>
        <v>2862351</v>
      </c>
      <c r="Q15" s="141"/>
      <c r="R15" s="144">
        <v>1300000</v>
      </c>
      <c r="S15" s="142">
        <v>1358000</v>
      </c>
      <c r="T15" s="111" t="s">
        <v>841</v>
      </c>
      <c r="U15" s="140">
        <f t="shared" si="8"/>
        <v>2557954</v>
      </c>
      <c r="V15" s="188">
        <f t="shared" si="4"/>
        <v>255795.40000000002</v>
      </c>
      <c r="W15" s="188">
        <f t="shared" si="5"/>
        <v>48601.126000000004</v>
      </c>
      <c r="X15" s="188">
        <f t="shared" si="6"/>
        <v>2862351</v>
      </c>
      <c r="Y15" s="188">
        <f t="shared" si="7"/>
        <v>0</v>
      </c>
    </row>
    <row r="16" spans="1:25" ht="15.6" customHeight="1">
      <c r="A16" s="115" t="s">
        <v>766</v>
      </c>
      <c r="B16" s="119">
        <v>52751080</v>
      </c>
      <c r="C16" s="7" t="s">
        <v>336</v>
      </c>
      <c r="D16" s="7" t="s">
        <v>19</v>
      </c>
      <c r="E16" s="7" t="s">
        <v>337</v>
      </c>
      <c r="F16" s="7" t="s">
        <v>338</v>
      </c>
      <c r="G16" s="114" t="s">
        <v>191</v>
      </c>
      <c r="H16" s="7" t="s">
        <v>14</v>
      </c>
      <c r="I16" s="64"/>
      <c r="J16" s="119">
        <v>30</v>
      </c>
      <c r="K16" s="138">
        <v>2465868</v>
      </c>
      <c r="L16" s="139">
        <v>2557954.36</v>
      </c>
      <c r="M16" s="140">
        <f t="shared" si="0"/>
        <v>255795.43599999999</v>
      </c>
      <c r="N16" s="140">
        <f t="shared" si="1"/>
        <v>48601.132839999998</v>
      </c>
      <c r="O16" s="140">
        <f t="shared" si="2"/>
        <v>2862350.9288400002</v>
      </c>
      <c r="P16" s="140">
        <f t="shared" si="3"/>
        <v>2862351</v>
      </c>
      <c r="Q16" s="141"/>
      <c r="R16" s="144">
        <v>1300000</v>
      </c>
      <c r="S16" s="142">
        <v>1358000</v>
      </c>
      <c r="T16" s="111" t="s">
        <v>844</v>
      </c>
      <c r="U16" s="140">
        <f t="shared" si="8"/>
        <v>2557954</v>
      </c>
      <c r="V16" s="188">
        <f t="shared" si="4"/>
        <v>255795.40000000002</v>
      </c>
      <c r="W16" s="188">
        <f t="shared" si="5"/>
        <v>48601.126000000004</v>
      </c>
      <c r="X16" s="188">
        <f t="shared" si="6"/>
        <v>2862351</v>
      </c>
      <c r="Y16" s="188">
        <f t="shared" si="7"/>
        <v>0</v>
      </c>
    </row>
    <row r="17" spans="1:25" ht="15.6" customHeight="1">
      <c r="A17" s="115" t="s">
        <v>766</v>
      </c>
      <c r="B17" s="119">
        <v>52776866</v>
      </c>
      <c r="C17" s="7" t="s">
        <v>346</v>
      </c>
      <c r="D17" s="7"/>
      <c r="E17" s="7" t="s">
        <v>347</v>
      </c>
      <c r="F17" s="7" t="s">
        <v>269</v>
      </c>
      <c r="G17" s="114" t="s">
        <v>191</v>
      </c>
      <c r="H17" s="7" t="s">
        <v>14</v>
      </c>
      <c r="I17" s="64"/>
      <c r="J17" s="119">
        <v>30</v>
      </c>
      <c r="K17" s="138">
        <v>2465868</v>
      </c>
      <c r="L17" s="139">
        <v>2557954.36</v>
      </c>
      <c r="M17" s="140">
        <f t="shared" si="0"/>
        <v>255795.43599999999</v>
      </c>
      <c r="N17" s="140">
        <f t="shared" si="1"/>
        <v>48601.132839999998</v>
      </c>
      <c r="O17" s="140">
        <f t="shared" si="2"/>
        <v>2862350.9288400002</v>
      </c>
      <c r="P17" s="140">
        <f t="shared" si="3"/>
        <v>2862351</v>
      </c>
      <c r="Q17" s="141"/>
      <c r="R17" s="144">
        <v>1300000</v>
      </c>
      <c r="S17" s="142">
        <v>1358000</v>
      </c>
      <c r="T17" s="111" t="s">
        <v>841</v>
      </c>
      <c r="U17" s="140">
        <f t="shared" si="8"/>
        <v>2557954</v>
      </c>
      <c r="V17" s="188">
        <f t="shared" si="4"/>
        <v>255795.40000000002</v>
      </c>
      <c r="W17" s="188">
        <f t="shared" si="5"/>
        <v>48601.126000000004</v>
      </c>
      <c r="X17" s="188">
        <f t="shared" si="6"/>
        <v>2862351</v>
      </c>
      <c r="Y17" s="188">
        <f t="shared" si="7"/>
        <v>0</v>
      </c>
    </row>
    <row r="18" spans="1:25" ht="15.6" customHeight="1">
      <c r="A18" s="115" t="s">
        <v>766</v>
      </c>
      <c r="B18" s="119">
        <v>52870883</v>
      </c>
      <c r="C18" s="7" t="s">
        <v>64</v>
      </c>
      <c r="D18" s="7" t="s">
        <v>65</v>
      </c>
      <c r="E18" s="7" t="s">
        <v>66</v>
      </c>
      <c r="F18" s="7"/>
      <c r="G18" s="114" t="s">
        <v>191</v>
      </c>
      <c r="H18" s="7" t="s">
        <v>14</v>
      </c>
      <c r="I18" s="64"/>
      <c r="J18" s="119">
        <v>29</v>
      </c>
      <c r="K18" s="138">
        <v>2465868</v>
      </c>
      <c r="L18" s="139">
        <v>2557954.36</v>
      </c>
      <c r="M18" s="140">
        <f t="shared" si="0"/>
        <v>255795.43599999999</v>
      </c>
      <c r="N18" s="140">
        <f t="shared" si="1"/>
        <v>48601.132839999998</v>
      </c>
      <c r="O18" s="140">
        <f t="shared" si="2"/>
        <v>2862350.9288400002</v>
      </c>
      <c r="P18" s="140">
        <f t="shared" si="3"/>
        <v>2766939</v>
      </c>
      <c r="Q18" s="142" t="s">
        <v>862</v>
      </c>
      <c r="R18" s="143">
        <f>1256667+43334</f>
        <v>1300001</v>
      </c>
      <c r="S18" s="142">
        <v>1312733</v>
      </c>
      <c r="T18" s="111" t="s">
        <v>841</v>
      </c>
      <c r="U18" s="140">
        <f t="shared" si="8"/>
        <v>2472689</v>
      </c>
      <c r="V18" s="188">
        <f t="shared" si="4"/>
        <v>247268.90000000002</v>
      </c>
      <c r="W18" s="188">
        <f t="shared" si="5"/>
        <v>46981.091000000008</v>
      </c>
      <c r="X18" s="188">
        <f t="shared" si="6"/>
        <v>2766939</v>
      </c>
      <c r="Y18" s="188">
        <f t="shared" si="7"/>
        <v>0</v>
      </c>
    </row>
    <row r="19" spans="1:25" ht="15.6" customHeight="1">
      <c r="A19" s="115" t="s">
        <v>766</v>
      </c>
      <c r="B19" s="119">
        <v>52973679</v>
      </c>
      <c r="C19" s="7" t="s">
        <v>311</v>
      </c>
      <c r="D19" s="7" t="s">
        <v>189</v>
      </c>
      <c r="E19" s="7" t="s">
        <v>85</v>
      </c>
      <c r="F19" s="7" t="s">
        <v>230</v>
      </c>
      <c r="G19" s="114" t="s">
        <v>191</v>
      </c>
      <c r="H19" s="7" t="s">
        <v>14</v>
      </c>
      <c r="I19" s="64"/>
      <c r="J19" s="119">
        <v>30</v>
      </c>
      <c r="K19" s="138">
        <v>2465868</v>
      </c>
      <c r="L19" s="139">
        <v>2557954.36</v>
      </c>
      <c r="M19" s="140">
        <f t="shared" si="0"/>
        <v>255795.43599999999</v>
      </c>
      <c r="N19" s="140">
        <f t="shared" si="1"/>
        <v>48601.132839999998</v>
      </c>
      <c r="O19" s="140">
        <f t="shared" si="2"/>
        <v>2862350.9288400002</v>
      </c>
      <c r="P19" s="140">
        <f t="shared" si="3"/>
        <v>2862351</v>
      </c>
      <c r="Q19" s="141"/>
      <c r="R19" s="144">
        <v>1300000</v>
      </c>
      <c r="S19" s="142">
        <v>1358000</v>
      </c>
      <c r="T19" s="111" t="s">
        <v>841</v>
      </c>
      <c r="U19" s="140">
        <f t="shared" si="8"/>
        <v>2557954</v>
      </c>
      <c r="V19" s="188">
        <f t="shared" si="4"/>
        <v>255795.40000000002</v>
      </c>
      <c r="W19" s="188">
        <f t="shared" si="5"/>
        <v>48601.126000000004</v>
      </c>
      <c r="X19" s="188">
        <f t="shared" si="6"/>
        <v>2862351</v>
      </c>
      <c r="Y19" s="188">
        <f t="shared" si="7"/>
        <v>0</v>
      </c>
    </row>
    <row r="20" spans="1:25" ht="15.6" customHeight="1">
      <c r="A20" s="115" t="s">
        <v>766</v>
      </c>
      <c r="B20" s="119">
        <v>64895144</v>
      </c>
      <c r="C20" s="7" t="s">
        <v>372</v>
      </c>
      <c r="D20" s="7" t="s">
        <v>373</v>
      </c>
      <c r="E20" s="7" t="s">
        <v>47</v>
      </c>
      <c r="F20" s="7" t="s">
        <v>374</v>
      </c>
      <c r="G20" s="114" t="s">
        <v>191</v>
      </c>
      <c r="H20" s="7" t="s">
        <v>354</v>
      </c>
      <c r="I20" s="64"/>
      <c r="J20" s="119">
        <v>30</v>
      </c>
      <c r="K20" s="138">
        <v>2465868</v>
      </c>
      <c r="L20" s="139">
        <v>2557954.36</v>
      </c>
      <c r="M20" s="140">
        <f t="shared" si="0"/>
        <v>255795.43599999999</v>
      </c>
      <c r="N20" s="140">
        <f t="shared" si="1"/>
        <v>48601.132839999998</v>
      </c>
      <c r="O20" s="140">
        <f t="shared" si="2"/>
        <v>2862350.9288400002</v>
      </c>
      <c r="P20" s="140">
        <f t="shared" si="3"/>
        <v>2862351</v>
      </c>
      <c r="Q20" s="141"/>
      <c r="R20" s="144">
        <v>1300000</v>
      </c>
      <c r="S20" s="142">
        <v>1237741</v>
      </c>
      <c r="T20" s="111" t="s">
        <v>852</v>
      </c>
      <c r="U20" s="140">
        <f t="shared" si="8"/>
        <v>2557954</v>
      </c>
      <c r="V20" s="188">
        <f t="shared" si="4"/>
        <v>255795.40000000002</v>
      </c>
      <c r="W20" s="188">
        <f t="shared" si="5"/>
        <v>48601.126000000004</v>
      </c>
      <c r="X20" s="188">
        <f t="shared" si="6"/>
        <v>2862351</v>
      </c>
      <c r="Y20" s="188">
        <f t="shared" si="7"/>
        <v>0</v>
      </c>
    </row>
    <row r="21" spans="1:25" ht="15.6" customHeight="1">
      <c r="A21" s="115" t="s">
        <v>766</v>
      </c>
      <c r="B21" s="119">
        <v>79761257</v>
      </c>
      <c r="C21" s="7" t="s">
        <v>15</v>
      </c>
      <c r="D21" s="7" t="s">
        <v>16</v>
      </c>
      <c r="E21" s="7" t="s">
        <v>17</v>
      </c>
      <c r="F21" s="7" t="s">
        <v>18</v>
      </c>
      <c r="G21" s="114" t="s">
        <v>13</v>
      </c>
      <c r="H21" s="7" t="s">
        <v>14</v>
      </c>
      <c r="I21" s="64"/>
      <c r="J21" s="119">
        <v>28</v>
      </c>
      <c r="K21" s="138">
        <v>2465868</v>
      </c>
      <c r="L21" s="139">
        <v>2557954.36</v>
      </c>
      <c r="M21" s="140">
        <f t="shared" si="0"/>
        <v>255795.43599999999</v>
      </c>
      <c r="N21" s="140">
        <f t="shared" si="1"/>
        <v>48601.132839999998</v>
      </c>
      <c r="O21" s="140">
        <f t="shared" si="2"/>
        <v>2862350.9288400002</v>
      </c>
      <c r="P21" s="140">
        <f t="shared" si="3"/>
        <v>2671528</v>
      </c>
      <c r="Q21" s="142" t="s">
        <v>827</v>
      </c>
      <c r="R21" s="143">
        <f>1297334+92667</f>
        <v>1390001</v>
      </c>
      <c r="S21" s="142">
        <v>1430000</v>
      </c>
      <c r="T21" s="111" t="s">
        <v>841</v>
      </c>
      <c r="U21" s="140">
        <f t="shared" si="8"/>
        <v>2387424</v>
      </c>
      <c r="V21" s="188">
        <f t="shared" si="4"/>
        <v>238742.40000000002</v>
      </c>
      <c r="W21" s="188">
        <f t="shared" si="5"/>
        <v>45361.056000000004</v>
      </c>
      <c r="X21" s="188">
        <f t="shared" si="6"/>
        <v>2671527</v>
      </c>
      <c r="Y21" s="188">
        <f t="shared" si="7"/>
        <v>-1</v>
      </c>
    </row>
    <row r="22" spans="1:25" ht="15.6" customHeight="1">
      <c r="A22" s="115" t="s">
        <v>766</v>
      </c>
      <c r="B22" s="119">
        <v>79771060</v>
      </c>
      <c r="C22" s="7" t="s">
        <v>133</v>
      </c>
      <c r="D22" s="7" t="s">
        <v>73</v>
      </c>
      <c r="E22" s="7" t="s">
        <v>134</v>
      </c>
      <c r="F22" s="7"/>
      <c r="G22" s="114" t="s">
        <v>89</v>
      </c>
      <c r="H22" s="7" t="s">
        <v>14</v>
      </c>
      <c r="I22" s="64"/>
      <c r="J22" s="119">
        <v>29</v>
      </c>
      <c r="K22" s="138">
        <v>2465868</v>
      </c>
      <c r="L22" s="139">
        <v>2557954.36</v>
      </c>
      <c r="M22" s="140">
        <f t="shared" si="0"/>
        <v>255795.43599999999</v>
      </c>
      <c r="N22" s="140">
        <f t="shared" si="1"/>
        <v>48601.132839999998</v>
      </c>
      <c r="O22" s="140">
        <f t="shared" si="2"/>
        <v>2862350.9288400002</v>
      </c>
      <c r="P22" s="140">
        <f t="shared" si="3"/>
        <v>2766939</v>
      </c>
      <c r="Q22" s="142" t="s">
        <v>877</v>
      </c>
      <c r="R22" s="147">
        <f>1310800+45200</f>
        <v>1356000</v>
      </c>
      <c r="S22" s="142">
        <v>1362536</v>
      </c>
      <c r="T22" s="111" t="s">
        <v>841</v>
      </c>
      <c r="U22" s="140">
        <f t="shared" si="8"/>
        <v>2472689</v>
      </c>
      <c r="V22" s="188">
        <f t="shared" si="4"/>
        <v>247268.90000000002</v>
      </c>
      <c r="W22" s="188">
        <f t="shared" si="5"/>
        <v>46981.091000000008</v>
      </c>
      <c r="X22" s="188">
        <f t="shared" si="6"/>
        <v>2766939</v>
      </c>
      <c r="Y22" s="188">
        <f t="shared" si="7"/>
        <v>0</v>
      </c>
    </row>
    <row r="23" spans="1:25" ht="15.6" customHeight="1">
      <c r="A23" s="115" t="s">
        <v>766</v>
      </c>
      <c r="B23" s="119">
        <v>80391453</v>
      </c>
      <c r="C23" s="7" t="s">
        <v>256</v>
      </c>
      <c r="D23" s="7" t="s">
        <v>257</v>
      </c>
      <c r="E23" s="7" t="s">
        <v>258</v>
      </c>
      <c r="F23" s="7"/>
      <c r="G23" s="114" t="s">
        <v>13</v>
      </c>
      <c r="H23" s="7" t="s">
        <v>14</v>
      </c>
      <c r="I23" s="64"/>
      <c r="J23" s="119">
        <v>30</v>
      </c>
      <c r="K23" s="138">
        <v>2465868</v>
      </c>
      <c r="L23" s="139">
        <v>2557954.36</v>
      </c>
      <c r="M23" s="140">
        <f t="shared" si="0"/>
        <v>255795.43599999999</v>
      </c>
      <c r="N23" s="140">
        <f t="shared" si="1"/>
        <v>48601.132839999998</v>
      </c>
      <c r="O23" s="140">
        <f t="shared" si="2"/>
        <v>2862350.9288400002</v>
      </c>
      <c r="P23" s="140">
        <f t="shared" si="3"/>
        <v>2862351</v>
      </c>
      <c r="Q23" s="141"/>
      <c r="R23" s="144">
        <v>1390000</v>
      </c>
      <c r="S23" s="142">
        <v>1440800</v>
      </c>
      <c r="T23" s="111" t="s">
        <v>841</v>
      </c>
      <c r="U23" s="140">
        <f t="shared" si="8"/>
        <v>2557954</v>
      </c>
      <c r="V23" s="188">
        <f t="shared" si="4"/>
        <v>255795.40000000002</v>
      </c>
      <c r="W23" s="188">
        <f t="shared" si="5"/>
        <v>48601.126000000004</v>
      </c>
      <c r="X23" s="188">
        <f t="shared" si="6"/>
        <v>2862351</v>
      </c>
      <c r="Y23" s="188">
        <f t="shared" si="7"/>
        <v>0</v>
      </c>
    </row>
    <row r="24" spans="1:25" ht="15.6" customHeight="1">
      <c r="A24" s="115" t="s">
        <v>766</v>
      </c>
      <c r="B24" s="119">
        <v>80760738</v>
      </c>
      <c r="C24" s="7" t="s">
        <v>755</v>
      </c>
      <c r="D24" s="7"/>
      <c r="E24" s="7" t="s">
        <v>12</v>
      </c>
      <c r="F24" s="7" t="s">
        <v>681</v>
      </c>
      <c r="G24" s="114" t="s">
        <v>45</v>
      </c>
      <c r="H24" s="64">
        <v>45392</v>
      </c>
      <c r="I24" s="64"/>
      <c r="J24" s="119">
        <v>30</v>
      </c>
      <c r="K24" s="138">
        <v>2465868</v>
      </c>
      <c r="L24" s="139">
        <v>2557954.36</v>
      </c>
      <c r="M24" s="140">
        <f t="shared" si="0"/>
        <v>255795.43599999999</v>
      </c>
      <c r="N24" s="140">
        <f t="shared" si="1"/>
        <v>48601.132839999998</v>
      </c>
      <c r="O24" s="140">
        <f t="shared" si="2"/>
        <v>2862350.9288400002</v>
      </c>
      <c r="P24" s="140">
        <f t="shared" si="3"/>
        <v>2862351</v>
      </c>
      <c r="Q24" s="141"/>
      <c r="R24" s="142">
        <v>1401000</v>
      </c>
      <c r="S24" s="142">
        <v>1680920</v>
      </c>
      <c r="T24" s="111" t="s">
        <v>841</v>
      </c>
      <c r="U24" s="140">
        <f t="shared" si="8"/>
        <v>2557954</v>
      </c>
      <c r="V24" s="188">
        <f t="shared" si="4"/>
        <v>255795.40000000002</v>
      </c>
      <c r="W24" s="188">
        <f t="shared" si="5"/>
        <v>48601.126000000004</v>
      </c>
      <c r="X24" s="188">
        <f t="shared" si="6"/>
        <v>2862351</v>
      </c>
      <c r="Y24" s="188">
        <f t="shared" si="7"/>
        <v>0</v>
      </c>
    </row>
    <row r="25" spans="1:25" ht="15.6" customHeight="1">
      <c r="A25" s="115" t="s">
        <v>766</v>
      </c>
      <c r="B25" s="119">
        <v>92260161</v>
      </c>
      <c r="C25" s="7" t="s">
        <v>150</v>
      </c>
      <c r="D25" s="7" t="s">
        <v>151</v>
      </c>
      <c r="E25" s="7" t="s">
        <v>152</v>
      </c>
      <c r="F25" s="7" t="s">
        <v>153</v>
      </c>
      <c r="G25" s="114" t="s">
        <v>13</v>
      </c>
      <c r="H25" s="7" t="s">
        <v>14</v>
      </c>
      <c r="I25" s="64"/>
      <c r="J25" s="119">
        <v>30</v>
      </c>
      <c r="K25" s="138">
        <v>2465868</v>
      </c>
      <c r="L25" s="139">
        <v>2557954.36</v>
      </c>
      <c r="M25" s="140">
        <f t="shared" si="0"/>
        <v>255795.43599999999</v>
      </c>
      <c r="N25" s="140">
        <f t="shared" si="1"/>
        <v>48601.132839999998</v>
      </c>
      <c r="O25" s="140">
        <f t="shared" si="2"/>
        <v>2862350.9288400002</v>
      </c>
      <c r="P25" s="140">
        <f t="shared" si="3"/>
        <v>2862351</v>
      </c>
      <c r="Q25" s="141"/>
      <c r="R25" s="144">
        <v>1390000</v>
      </c>
      <c r="S25" s="142">
        <v>1440800</v>
      </c>
      <c r="T25" s="111" t="s">
        <v>852</v>
      </c>
      <c r="U25" s="140">
        <f t="shared" si="8"/>
        <v>2557954</v>
      </c>
      <c r="V25" s="188">
        <f t="shared" si="4"/>
        <v>255795.40000000002</v>
      </c>
      <c r="W25" s="188">
        <f t="shared" si="5"/>
        <v>48601.126000000004</v>
      </c>
      <c r="X25" s="188">
        <f t="shared" si="6"/>
        <v>2862351</v>
      </c>
      <c r="Y25" s="188">
        <f t="shared" si="7"/>
        <v>0</v>
      </c>
    </row>
    <row r="26" spans="1:25" ht="15.6" customHeight="1">
      <c r="A26" s="115" t="s">
        <v>766</v>
      </c>
      <c r="B26" s="119">
        <v>1005524136</v>
      </c>
      <c r="C26" s="7" t="s">
        <v>9</v>
      </c>
      <c r="D26" s="7" t="s">
        <v>10</v>
      </c>
      <c r="E26" s="7" t="s">
        <v>11</v>
      </c>
      <c r="F26" s="7" t="s">
        <v>12</v>
      </c>
      <c r="G26" s="114" t="s">
        <v>13</v>
      </c>
      <c r="H26" s="7" t="s">
        <v>14</v>
      </c>
      <c r="I26" s="64"/>
      <c r="J26" s="119">
        <v>28</v>
      </c>
      <c r="K26" s="138">
        <v>2465868</v>
      </c>
      <c r="L26" s="139">
        <v>2557954.36</v>
      </c>
      <c r="M26" s="140">
        <f t="shared" si="0"/>
        <v>255795.43599999999</v>
      </c>
      <c r="N26" s="140">
        <f t="shared" si="1"/>
        <v>48601.132839999998</v>
      </c>
      <c r="O26" s="140">
        <f t="shared" si="2"/>
        <v>2862350.9288400002</v>
      </c>
      <c r="P26" s="140">
        <f t="shared" si="3"/>
        <v>2671528</v>
      </c>
      <c r="Q26" s="142" t="s">
        <v>853</v>
      </c>
      <c r="R26" s="143">
        <f>1297334+46334+46334</f>
        <v>1390002</v>
      </c>
      <c r="S26" s="142">
        <v>1344747</v>
      </c>
      <c r="T26" s="111" t="s">
        <v>841</v>
      </c>
      <c r="U26" s="140">
        <f t="shared" si="8"/>
        <v>2387424</v>
      </c>
      <c r="V26" s="188">
        <f t="shared" si="4"/>
        <v>238742.40000000002</v>
      </c>
      <c r="W26" s="188">
        <f t="shared" si="5"/>
        <v>45361.056000000004</v>
      </c>
      <c r="X26" s="188">
        <f t="shared" si="6"/>
        <v>2671527</v>
      </c>
      <c r="Y26" s="188">
        <f t="shared" si="7"/>
        <v>-1</v>
      </c>
    </row>
    <row r="27" spans="1:25" ht="15.6" customHeight="1">
      <c r="A27" s="115" t="s">
        <v>766</v>
      </c>
      <c r="B27" s="119">
        <v>1000831469</v>
      </c>
      <c r="C27" s="7" t="s">
        <v>765</v>
      </c>
      <c r="D27" s="7" t="s">
        <v>421</v>
      </c>
      <c r="E27" s="7" t="s">
        <v>422</v>
      </c>
      <c r="F27" s="7" t="s">
        <v>423</v>
      </c>
      <c r="G27" s="114" t="s">
        <v>13</v>
      </c>
      <c r="H27" s="64">
        <v>45395</v>
      </c>
      <c r="I27" s="64"/>
      <c r="J27" s="119">
        <v>24</v>
      </c>
      <c r="K27" s="138">
        <v>2465868</v>
      </c>
      <c r="L27" s="139">
        <v>2557954.36</v>
      </c>
      <c r="M27" s="140">
        <f>+L27*10%</f>
        <v>255795.43599999999</v>
      </c>
      <c r="N27" s="140">
        <f>+M27*19%</f>
        <v>48601.132839999998</v>
      </c>
      <c r="O27" s="140">
        <f>+L27+M27+N27</f>
        <v>2862350.9288400002</v>
      </c>
      <c r="P27" s="140">
        <f>+ROUND(((O27/30)*J27),0)</f>
        <v>2289881</v>
      </c>
      <c r="Q27" s="142" t="s">
        <v>829</v>
      </c>
      <c r="R27" s="148">
        <f>1112000+43334+43334+92667+92667</f>
        <v>1384002</v>
      </c>
      <c r="S27" s="142">
        <v>1402882</v>
      </c>
      <c r="T27" s="111" t="s">
        <v>852</v>
      </c>
      <c r="U27" s="140">
        <f>+ROUND(((L27/30)*J27),0)</f>
        <v>2046363</v>
      </c>
      <c r="V27" s="188">
        <f t="shared" si="4"/>
        <v>204636.30000000002</v>
      </c>
      <c r="W27" s="188">
        <f t="shared" si="5"/>
        <v>38880.897000000004</v>
      </c>
      <c r="X27" s="188">
        <f t="shared" si="6"/>
        <v>2289880</v>
      </c>
      <c r="Y27" s="188">
        <f t="shared" si="7"/>
        <v>-1</v>
      </c>
    </row>
    <row r="28" spans="1:25" ht="15.6" customHeight="1">
      <c r="A28" s="115" t="s">
        <v>766</v>
      </c>
      <c r="B28" s="119">
        <v>1012331832</v>
      </c>
      <c r="C28" s="7" t="s">
        <v>231</v>
      </c>
      <c r="D28" s="7" t="s">
        <v>35</v>
      </c>
      <c r="E28" s="7" t="s">
        <v>232</v>
      </c>
      <c r="F28" s="7" t="s">
        <v>233</v>
      </c>
      <c r="G28" s="114" t="s">
        <v>191</v>
      </c>
      <c r="H28" s="7" t="s">
        <v>14</v>
      </c>
      <c r="I28" s="64"/>
      <c r="J28" s="119">
        <v>30</v>
      </c>
      <c r="K28" s="138">
        <v>2465868</v>
      </c>
      <c r="L28" s="139">
        <v>2557954.36</v>
      </c>
      <c r="M28" s="140">
        <f t="shared" si="0"/>
        <v>255795.43599999999</v>
      </c>
      <c r="N28" s="140">
        <f t="shared" si="1"/>
        <v>48601.132839999998</v>
      </c>
      <c r="O28" s="140">
        <f t="shared" si="2"/>
        <v>2862350.9288400002</v>
      </c>
      <c r="P28" s="140">
        <f t="shared" si="3"/>
        <v>2862351</v>
      </c>
      <c r="Q28" s="141"/>
      <c r="R28" s="144">
        <v>1300000</v>
      </c>
      <c r="S28" s="142">
        <v>1358000</v>
      </c>
      <c r="T28" s="111" t="s">
        <v>841</v>
      </c>
      <c r="U28" s="140">
        <f t="shared" si="8"/>
        <v>2557954</v>
      </c>
      <c r="V28" s="188">
        <f t="shared" si="4"/>
        <v>255795.40000000002</v>
      </c>
      <c r="W28" s="188">
        <f t="shared" si="5"/>
        <v>48601.126000000004</v>
      </c>
      <c r="X28" s="188">
        <f t="shared" si="6"/>
        <v>2862351</v>
      </c>
      <c r="Y28" s="188">
        <f t="shared" si="7"/>
        <v>0</v>
      </c>
    </row>
    <row r="29" spans="1:25" ht="15.6" customHeight="1">
      <c r="A29" s="115" t="s">
        <v>766</v>
      </c>
      <c r="B29" s="119">
        <v>1016028720</v>
      </c>
      <c r="C29" s="7" t="s">
        <v>168</v>
      </c>
      <c r="D29" s="7" t="s">
        <v>174</v>
      </c>
      <c r="E29" s="7" t="s">
        <v>175</v>
      </c>
      <c r="F29" s="7" t="s">
        <v>176</v>
      </c>
      <c r="G29" s="114" t="s">
        <v>13</v>
      </c>
      <c r="H29" s="7" t="s">
        <v>14</v>
      </c>
      <c r="I29" s="64"/>
      <c r="J29" s="119">
        <v>30</v>
      </c>
      <c r="K29" s="138">
        <v>2465868</v>
      </c>
      <c r="L29" s="139">
        <v>2557954.36</v>
      </c>
      <c r="M29" s="140">
        <f t="shared" si="0"/>
        <v>255795.43599999999</v>
      </c>
      <c r="N29" s="140">
        <f t="shared" si="1"/>
        <v>48601.132839999998</v>
      </c>
      <c r="O29" s="140">
        <f t="shared" si="2"/>
        <v>2862350.9288400002</v>
      </c>
      <c r="P29" s="140">
        <f t="shared" si="3"/>
        <v>2862351</v>
      </c>
      <c r="Q29" s="141"/>
      <c r="R29" s="144">
        <v>1390000</v>
      </c>
      <c r="S29" s="142">
        <v>1440800</v>
      </c>
      <c r="T29" s="111" t="s">
        <v>841</v>
      </c>
      <c r="U29" s="140">
        <f t="shared" si="8"/>
        <v>2557954</v>
      </c>
      <c r="V29" s="188">
        <f t="shared" si="4"/>
        <v>255795.40000000002</v>
      </c>
      <c r="W29" s="188">
        <f t="shared" si="5"/>
        <v>48601.126000000004</v>
      </c>
      <c r="X29" s="188">
        <f t="shared" si="6"/>
        <v>2862351</v>
      </c>
      <c r="Y29" s="188">
        <f t="shared" si="7"/>
        <v>0</v>
      </c>
    </row>
    <row r="30" spans="1:25" ht="15.6" customHeight="1">
      <c r="A30" s="115" t="s">
        <v>766</v>
      </c>
      <c r="B30" s="119">
        <v>1047443956</v>
      </c>
      <c r="C30" s="7" t="s">
        <v>168</v>
      </c>
      <c r="D30" s="7" t="s">
        <v>752</v>
      </c>
      <c r="E30" s="7" t="s">
        <v>753</v>
      </c>
      <c r="F30" s="7" t="s">
        <v>71</v>
      </c>
      <c r="G30" s="114" t="s">
        <v>191</v>
      </c>
      <c r="H30" s="64">
        <v>45426</v>
      </c>
      <c r="I30" s="64"/>
      <c r="J30" s="119">
        <v>30</v>
      </c>
      <c r="K30" s="138">
        <v>2465868</v>
      </c>
      <c r="L30" s="139">
        <v>2557954.36</v>
      </c>
      <c r="M30" s="140">
        <f>+L30*10%</f>
        <v>255795.43599999999</v>
      </c>
      <c r="N30" s="140">
        <f>+M30*19%</f>
        <v>48601.132839999998</v>
      </c>
      <c r="O30" s="140">
        <f>+L30+M30+N30</f>
        <v>2862350.9288400002</v>
      </c>
      <c r="P30" s="140">
        <f>+ROUND(((O30/30)*J30),0)</f>
        <v>2862351</v>
      </c>
      <c r="Q30" s="141"/>
      <c r="R30" s="144">
        <v>1300000</v>
      </c>
      <c r="S30" s="142">
        <v>1358000</v>
      </c>
      <c r="T30" s="111" t="s">
        <v>841</v>
      </c>
      <c r="U30" s="140">
        <f>+ROUND(((L30/30)*J30),0)</f>
        <v>2557954</v>
      </c>
      <c r="V30" s="188">
        <f t="shared" si="4"/>
        <v>255795.40000000002</v>
      </c>
      <c r="W30" s="188">
        <f t="shared" si="5"/>
        <v>48601.126000000004</v>
      </c>
      <c r="X30" s="188">
        <f t="shared" si="6"/>
        <v>2862351</v>
      </c>
      <c r="Y30" s="188">
        <f t="shared" si="7"/>
        <v>0</v>
      </c>
    </row>
    <row r="31" spans="1:25" ht="15.6" customHeight="1">
      <c r="A31" s="115" t="s">
        <v>766</v>
      </c>
      <c r="B31" s="119">
        <v>55155416</v>
      </c>
      <c r="C31" s="7" t="s">
        <v>234</v>
      </c>
      <c r="D31" s="7" t="s">
        <v>46</v>
      </c>
      <c r="E31" s="7" t="s">
        <v>169</v>
      </c>
      <c r="F31" s="7" t="s">
        <v>183</v>
      </c>
      <c r="G31" s="114" t="s">
        <v>210</v>
      </c>
      <c r="H31" s="7" t="s">
        <v>14</v>
      </c>
      <c r="I31" s="64"/>
      <c r="J31" s="119">
        <v>6</v>
      </c>
      <c r="K31" s="138">
        <v>2465868</v>
      </c>
      <c r="L31" s="139">
        <v>2557954.36</v>
      </c>
      <c r="M31" s="140">
        <f t="shared" ref="M31" si="9">+L31*10%</f>
        <v>255795.43599999999</v>
      </c>
      <c r="N31" s="140">
        <f t="shared" ref="N31" si="10">+M31*19%</f>
        <v>48601.132839999998</v>
      </c>
      <c r="O31" s="140">
        <f t="shared" ref="O31" si="11">+L31+M31+N31</f>
        <v>2862350.9288400002</v>
      </c>
      <c r="P31" s="140">
        <f t="shared" ref="P31" si="12">+ROUND(((O31/30)*J31),0)</f>
        <v>572470</v>
      </c>
      <c r="Q31" s="142" t="s">
        <v>828</v>
      </c>
      <c r="R31" s="147">
        <f>90400+1265600</f>
        <v>1356000</v>
      </c>
      <c r="S31" s="142">
        <v>1315552</v>
      </c>
      <c r="T31" s="111" t="s">
        <v>841</v>
      </c>
      <c r="U31" s="140">
        <f>+ROUND(((L31/30)*J31),0)</f>
        <v>511591</v>
      </c>
      <c r="V31" s="188">
        <f t="shared" si="4"/>
        <v>51159.100000000006</v>
      </c>
      <c r="W31" s="188">
        <f t="shared" si="5"/>
        <v>9720.2290000000012</v>
      </c>
      <c r="X31" s="188">
        <f t="shared" si="6"/>
        <v>572470</v>
      </c>
      <c r="Y31" s="188">
        <f t="shared" si="7"/>
        <v>0</v>
      </c>
    </row>
    <row r="32" spans="1:25" ht="15.6" customHeight="1">
      <c r="A32" s="115" t="s">
        <v>766</v>
      </c>
      <c r="B32" s="119">
        <v>1022363890</v>
      </c>
      <c r="C32" s="7" t="s">
        <v>199</v>
      </c>
      <c r="D32" s="7" t="s">
        <v>200</v>
      </c>
      <c r="E32" s="7" t="s">
        <v>201</v>
      </c>
      <c r="F32" s="7" t="s">
        <v>202</v>
      </c>
      <c r="G32" s="114" t="s">
        <v>191</v>
      </c>
      <c r="H32" s="7" t="s">
        <v>14</v>
      </c>
      <c r="I32" s="64"/>
      <c r="J32" s="119">
        <v>30</v>
      </c>
      <c r="K32" s="138">
        <v>2465868</v>
      </c>
      <c r="L32" s="139">
        <v>2557954.36</v>
      </c>
      <c r="M32" s="140">
        <f t="shared" si="0"/>
        <v>255795.43599999999</v>
      </c>
      <c r="N32" s="140">
        <f t="shared" si="1"/>
        <v>48601.132839999998</v>
      </c>
      <c r="O32" s="140">
        <f t="shared" si="2"/>
        <v>2862350.9288400002</v>
      </c>
      <c r="P32" s="140">
        <f t="shared" si="3"/>
        <v>2862351</v>
      </c>
      <c r="Q32" s="141"/>
      <c r="R32" s="144">
        <v>1300000</v>
      </c>
      <c r="S32" s="142">
        <v>1358000</v>
      </c>
      <c r="T32" s="111" t="s">
        <v>841</v>
      </c>
      <c r="U32" s="140">
        <f t="shared" si="8"/>
        <v>2557954</v>
      </c>
      <c r="V32" s="188">
        <f t="shared" si="4"/>
        <v>255795.40000000002</v>
      </c>
      <c r="W32" s="188">
        <f t="shared" si="5"/>
        <v>48601.126000000004</v>
      </c>
      <c r="X32" s="188">
        <f t="shared" si="6"/>
        <v>2862351</v>
      </c>
      <c r="Y32" s="188">
        <f t="shared" si="7"/>
        <v>0</v>
      </c>
    </row>
    <row r="33" spans="1:25" ht="15.6" customHeight="1">
      <c r="A33" s="115" t="s">
        <v>766</v>
      </c>
      <c r="B33" s="119">
        <v>1023928463</v>
      </c>
      <c r="C33" s="7" t="s">
        <v>107</v>
      </c>
      <c r="D33" s="7" t="s">
        <v>108</v>
      </c>
      <c r="E33" s="7" t="s">
        <v>109</v>
      </c>
      <c r="F33" s="7" t="s">
        <v>110</v>
      </c>
      <c r="G33" s="114" t="s">
        <v>191</v>
      </c>
      <c r="H33" s="7" t="s">
        <v>14</v>
      </c>
      <c r="I33" s="64"/>
      <c r="J33" s="119">
        <v>30</v>
      </c>
      <c r="K33" s="138">
        <v>2465868</v>
      </c>
      <c r="L33" s="139">
        <v>2557954.36</v>
      </c>
      <c r="M33" s="140">
        <f t="shared" ref="M33:M63" si="13">+L33*10%</f>
        <v>255795.43599999999</v>
      </c>
      <c r="N33" s="140">
        <f t="shared" ref="N33:N63" si="14">+M33*19%</f>
        <v>48601.132839999998</v>
      </c>
      <c r="O33" s="140">
        <f t="shared" ref="O33:O63" si="15">+L33+M33+N33</f>
        <v>2862350.9288400002</v>
      </c>
      <c r="P33" s="140">
        <f t="shared" si="3"/>
        <v>2862351</v>
      </c>
      <c r="Q33" s="141"/>
      <c r="R33" s="144">
        <v>1300000</v>
      </c>
      <c r="S33" s="142">
        <v>1234087</v>
      </c>
      <c r="T33" s="111" t="s">
        <v>841</v>
      </c>
      <c r="U33" s="140">
        <f t="shared" si="8"/>
        <v>2557954</v>
      </c>
      <c r="V33" s="188">
        <f t="shared" si="4"/>
        <v>255795.40000000002</v>
      </c>
      <c r="W33" s="188">
        <f t="shared" si="5"/>
        <v>48601.126000000004</v>
      </c>
      <c r="X33" s="188">
        <f t="shared" si="6"/>
        <v>2862351</v>
      </c>
      <c r="Y33" s="188">
        <f t="shared" si="7"/>
        <v>0</v>
      </c>
    </row>
    <row r="34" spans="1:25" ht="15.6" customHeight="1">
      <c r="A34" s="115" t="s">
        <v>766</v>
      </c>
      <c r="B34" s="119">
        <v>1024477933</v>
      </c>
      <c r="C34" s="7" t="s">
        <v>224</v>
      </c>
      <c r="D34" s="7" t="s">
        <v>225</v>
      </c>
      <c r="E34" s="7" t="s">
        <v>226</v>
      </c>
      <c r="F34" s="7" t="s">
        <v>12</v>
      </c>
      <c r="G34" s="114" t="s">
        <v>13</v>
      </c>
      <c r="H34" s="7" t="s">
        <v>14</v>
      </c>
      <c r="I34" s="64"/>
      <c r="J34" s="119">
        <v>30</v>
      </c>
      <c r="K34" s="138">
        <v>2465868</v>
      </c>
      <c r="L34" s="139">
        <v>2557954.36</v>
      </c>
      <c r="M34" s="140">
        <f t="shared" si="13"/>
        <v>255795.43599999999</v>
      </c>
      <c r="N34" s="140">
        <f t="shared" si="14"/>
        <v>48601.132839999998</v>
      </c>
      <c r="O34" s="140">
        <f t="shared" si="15"/>
        <v>2862350.9288400002</v>
      </c>
      <c r="P34" s="140">
        <f t="shared" si="3"/>
        <v>2862351</v>
      </c>
      <c r="Q34" s="141"/>
      <c r="R34" s="144">
        <v>1390000</v>
      </c>
      <c r="S34" s="142">
        <v>1440800</v>
      </c>
      <c r="T34" s="111" t="s">
        <v>841</v>
      </c>
      <c r="U34" s="140">
        <f t="shared" si="8"/>
        <v>2557954</v>
      </c>
      <c r="V34" s="188">
        <f t="shared" si="4"/>
        <v>255795.40000000002</v>
      </c>
      <c r="W34" s="188">
        <f t="shared" si="5"/>
        <v>48601.126000000004</v>
      </c>
      <c r="X34" s="188">
        <f t="shared" si="6"/>
        <v>2862351</v>
      </c>
      <c r="Y34" s="188">
        <f t="shared" si="7"/>
        <v>0</v>
      </c>
    </row>
    <row r="35" spans="1:25" ht="15.6" customHeight="1">
      <c r="A35" s="115" t="s">
        <v>766</v>
      </c>
      <c r="B35" s="119">
        <v>1024483297</v>
      </c>
      <c r="C35" s="7" t="s">
        <v>304</v>
      </c>
      <c r="D35" s="7" t="s">
        <v>305</v>
      </c>
      <c r="E35" s="7" t="s">
        <v>290</v>
      </c>
      <c r="F35" s="7"/>
      <c r="G35" s="114" t="s">
        <v>45</v>
      </c>
      <c r="H35" s="64">
        <v>45404</v>
      </c>
      <c r="I35" s="64"/>
      <c r="J35" s="119">
        <v>30</v>
      </c>
      <c r="K35" s="138">
        <v>2465868</v>
      </c>
      <c r="L35" s="139">
        <v>2557954.36</v>
      </c>
      <c r="M35" s="140">
        <f t="shared" si="13"/>
        <v>255795.43599999999</v>
      </c>
      <c r="N35" s="140">
        <f t="shared" si="14"/>
        <v>48601.132839999998</v>
      </c>
      <c r="O35" s="140">
        <f t="shared" si="15"/>
        <v>2862350.9288400002</v>
      </c>
      <c r="P35" s="140">
        <f t="shared" si="3"/>
        <v>2862351</v>
      </c>
      <c r="Q35" s="141"/>
      <c r="R35" s="142">
        <v>1401000</v>
      </c>
      <c r="S35" s="142">
        <v>1680920</v>
      </c>
      <c r="T35" s="111" t="s">
        <v>841</v>
      </c>
      <c r="U35" s="140">
        <f t="shared" si="8"/>
        <v>2557954</v>
      </c>
      <c r="V35" s="188">
        <f t="shared" si="4"/>
        <v>255795.40000000002</v>
      </c>
      <c r="W35" s="188">
        <f t="shared" si="5"/>
        <v>48601.126000000004</v>
      </c>
      <c r="X35" s="188">
        <f t="shared" si="6"/>
        <v>2862351</v>
      </c>
      <c r="Y35" s="188">
        <f t="shared" si="7"/>
        <v>0</v>
      </c>
    </row>
    <row r="36" spans="1:25" ht="15.6" customHeight="1">
      <c r="A36" s="115" t="s">
        <v>766</v>
      </c>
      <c r="B36" s="119">
        <v>1023888306</v>
      </c>
      <c r="C36" s="7" t="s">
        <v>162</v>
      </c>
      <c r="D36" s="7" t="s">
        <v>813</v>
      </c>
      <c r="E36" s="7" t="s">
        <v>169</v>
      </c>
      <c r="F36" s="7" t="s">
        <v>272</v>
      </c>
      <c r="G36" s="114" t="s">
        <v>191</v>
      </c>
      <c r="H36" s="64">
        <v>45478</v>
      </c>
      <c r="I36" s="64"/>
      <c r="J36" s="119">
        <v>26</v>
      </c>
      <c r="K36" s="138">
        <v>2465868</v>
      </c>
      <c r="L36" s="139">
        <v>2557954.36</v>
      </c>
      <c r="M36" s="140">
        <f t="shared" ref="M36" si="16">+L36*10%</f>
        <v>255795.43599999999</v>
      </c>
      <c r="N36" s="140">
        <f t="shared" ref="N36" si="17">+M36*19%</f>
        <v>48601.132839999998</v>
      </c>
      <c r="O36" s="140">
        <f>+L36+M36+N36</f>
        <v>2862350.9288400002</v>
      </c>
      <c r="P36" s="140">
        <f>+ROUND(((O36/30)*J36),0)</f>
        <v>2480704</v>
      </c>
      <c r="Q36" s="142" t="s">
        <v>865</v>
      </c>
      <c r="R36" s="149">
        <v>1126667</v>
      </c>
      <c r="S36" s="150">
        <v>1176933</v>
      </c>
      <c r="T36" s="111" t="s">
        <v>852</v>
      </c>
      <c r="U36" s="140">
        <f t="shared" si="8"/>
        <v>2216894</v>
      </c>
      <c r="V36" s="188">
        <f t="shared" si="4"/>
        <v>221689.40000000002</v>
      </c>
      <c r="W36" s="188">
        <f t="shared" si="5"/>
        <v>42120.986000000004</v>
      </c>
      <c r="X36" s="188">
        <f t="shared" si="6"/>
        <v>2480704</v>
      </c>
      <c r="Y36" s="188">
        <f t="shared" si="7"/>
        <v>0</v>
      </c>
    </row>
    <row r="37" spans="1:25" ht="15.6" customHeight="1">
      <c r="A37" s="115" t="s">
        <v>766</v>
      </c>
      <c r="B37" s="119">
        <v>1032365672</v>
      </c>
      <c r="C37" s="7" t="s">
        <v>67</v>
      </c>
      <c r="D37" s="7"/>
      <c r="E37" s="7" t="s">
        <v>68</v>
      </c>
      <c r="F37" s="7"/>
      <c r="G37" s="114" t="s">
        <v>191</v>
      </c>
      <c r="H37" s="7" t="s">
        <v>14</v>
      </c>
      <c r="I37" s="64"/>
      <c r="J37" s="119">
        <v>30</v>
      </c>
      <c r="K37" s="138">
        <v>2465868</v>
      </c>
      <c r="L37" s="139">
        <v>2557954.36</v>
      </c>
      <c r="M37" s="140">
        <f t="shared" si="13"/>
        <v>255795.43599999999</v>
      </c>
      <c r="N37" s="140">
        <f t="shared" si="14"/>
        <v>48601.132839999998</v>
      </c>
      <c r="O37" s="140">
        <f t="shared" si="15"/>
        <v>2862350.9288400002</v>
      </c>
      <c r="P37" s="140">
        <f t="shared" si="3"/>
        <v>2862351</v>
      </c>
      <c r="Q37" s="141"/>
      <c r="R37" s="144">
        <v>1300000</v>
      </c>
      <c r="S37" s="142">
        <v>1346050</v>
      </c>
      <c r="T37" s="111" t="s">
        <v>841</v>
      </c>
      <c r="U37" s="140">
        <f t="shared" si="8"/>
        <v>2557954</v>
      </c>
      <c r="V37" s="188">
        <f t="shared" si="4"/>
        <v>255795.40000000002</v>
      </c>
      <c r="W37" s="188">
        <f t="shared" si="5"/>
        <v>48601.126000000004</v>
      </c>
      <c r="X37" s="188">
        <f t="shared" si="6"/>
        <v>2862351</v>
      </c>
      <c r="Y37" s="188">
        <f t="shared" si="7"/>
        <v>0</v>
      </c>
    </row>
    <row r="38" spans="1:25" ht="15.6" customHeight="1">
      <c r="A38" s="115" t="s">
        <v>766</v>
      </c>
      <c r="B38" s="119">
        <v>1073698399</v>
      </c>
      <c r="C38" s="7" t="s">
        <v>394</v>
      </c>
      <c r="D38" s="7" t="s">
        <v>363</v>
      </c>
      <c r="E38" s="7" t="s">
        <v>395</v>
      </c>
      <c r="F38" s="7" t="s">
        <v>396</v>
      </c>
      <c r="G38" s="114" t="s">
        <v>191</v>
      </c>
      <c r="H38" s="7" t="s">
        <v>393</v>
      </c>
      <c r="I38" s="64"/>
      <c r="J38" s="119">
        <v>30</v>
      </c>
      <c r="K38" s="138">
        <v>2465868</v>
      </c>
      <c r="L38" s="139">
        <v>2557954.36</v>
      </c>
      <c r="M38" s="140">
        <f>+L38*10%</f>
        <v>255795.43599999999</v>
      </c>
      <c r="N38" s="140">
        <f>+M38*19%</f>
        <v>48601.132839999998</v>
      </c>
      <c r="O38" s="140">
        <f>+L38+M38+N38</f>
        <v>2862350.9288400002</v>
      </c>
      <c r="P38" s="140">
        <f>+ROUND(((O38/30)*J38),0)</f>
        <v>2862351</v>
      </c>
      <c r="Q38" s="142" t="s">
        <v>838</v>
      </c>
      <c r="R38" s="150">
        <v>1300001</v>
      </c>
      <c r="S38" s="150">
        <v>1477601</v>
      </c>
      <c r="T38" s="111" t="s">
        <v>852</v>
      </c>
      <c r="U38" s="140">
        <f>+ROUND(((L38/30)*J38),0)</f>
        <v>2557954</v>
      </c>
      <c r="V38" s="188">
        <f>+U38*10%</f>
        <v>255795.40000000002</v>
      </c>
      <c r="W38" s="188">
        <f>+V38*19%</f>
        <v>48601.126000000004</v>
      </c>
      <c r="X38" s="188">
        <f>+ROUND((U38+V38+W38),0)</f>
        <v>2862351</v>
      </c>
      <c r="Y38" s="188">
        <f>+X38-P38</f>
        <v>0</v>
      </c>
    </row>
    <row r="39" spans="1:25" ht="15.6" customHeight="1">
      <c r="A39" s="115" t="s">
        <v>766</v>
      </c>
      <c r="B39" s="119">
        <v>1032432651</v>
      </c>
      <c r="C39" s="7" t="s">
        <v>163</v>
      </c>
      <c r="D39" s="7" t="s">
        <v>107</v>
      </c>
      <c r="E39" s="7" t="s">
        <v>164</v>
      </c>
      <c r="F39" s="7" t="s">
        <v>165</v>
      </c>
      <c r="G39" s="114" t="s">
        <v>13</v>
      </c>
      <c r="H39" s="7" t="s">
        <v>14</v>
      </c>
      <c r="I39" s="64"/>
      <c r="J39" s="119">
        <v>30</v>
      </c>
      <c r="K39" s="138">
        <v>2465868</v>
      </c>
      <c r="L39" s="139">
        <v>2557954.36</v>
      </c>
      <c r="M39" s="140">
        <f t="shared" si="13"/>
        <v>255795.43599999999</v>
      </c>
      <c r="N39" s="140">
        <f t="shared" si="14"/>
        <v>48601.132839999998</v>
      </c>
      <c r="O39" s="140">
        <f t="shared" si="15"/>
        <v>2862350.9288400002</v>
      </c>
      <c r="P39" s="140">
        <f t="shared" si="3"/>
        <v>2862351</v>
      </c>
      <c r="Q39" s="141"/>
      <c r="R39" s="144">
        <v>1390000</v>
      </c>
      <c r="S39" s="142">
        <v>1440800</v>
      </c>
      <c r="T39" s="111" t="s">
        <v>841</v>
      </c>
      <c r="U39" s="140">
        <f t="shared" si="8"/>
        <v>2557954</v>
      </c>
      <c r="V39" s="188">
        <f t="shared" si="4"/>
        <v>255795.40000000002</v>
      </c>
      <c r="W39" s="188">
        <f t="shared" si="5"/>
        <v>48601.126000000004</v>
      </c>
      <c r="X39" s="188">
        <f t="shared" si="6"/>
        <v>2862351</v>
      </c>
      <c r="Y39" s="188">
        <f t="shared" si="7"/>
        <v>0</v>
      </c>
    </row>
    <row r="40" spans="1:25" ht="15.6" customHeight="1">
      <c r="A40" s="115" t="s">
        <v>766</v>
      </c>
      <c r="B40" s="119">
        <v>1033681788</v>
      </c>
      <c r="C40" s="7" t="s">
        <v>55</v>
      </c>
      <c r="D40" s="7" t="s">
        <v>56</v>
      </c>
      <c r="E40" s="7" t="s">
        <v>33</v>
      </c>
      <c r="F40" s="7" t="s">
        <v>57</v>
      </c>
      <c r="G40" s="114" t="s">
        <v>191</v>
      </c>
      <c r="H40" s="7" t="s">
        <v>14</v>
      </c>
      <c r="I40" s="64"/>
      <c r="J40" s="119">
        <v>30</v>
      </c>
      <c r="K40" s="138">
        <v>2465868</v>
      </c>
      <c r="L40" s="139">
        <v>2557954.36</v>
      </c>
      <c r="M40" s="140">
        <f t="shared" si="13"/>
        <v>255795.43599999999</v>
      </c>
      <c r="N40" s="140">
        <f t="shared" si="14"/>
        <v>48601.132839999998</v>
      </c>
      <c r="O40" s="140">
        <f t="shared" si="15"/>
        <v>2862350.9288400002</v>
      </c>
      <c r="P40" s="140">
        <f>+ROUND(((O40/30)*J40),0)</f>
        <v>2862351</v>
      </c>
      <c r="Q40" s="141"/>
      <c r="R40" s="144">
        <v>1300000</v>
      </c>
      <c r="S40" s="142">
        <v>1358000</v>
      </c>
      <c r="T40" s="111" t="s">
        <v>841</v>
      </c>
      <c r="U40" s="140">
        <f t="shared" si="8"/>
        <v>2557954</v>
      </c>
      <c r="V40" s="188">
        <f t="shared" si="4"/>
        <v>255795.40000000002</v>
      </c>
      <c r="W40" s="188">
        <f t="shared" si="5"/>
        <v>48601.126000000004</v>
      </c>
      <c r="X40" s="188">
        <f t="shared" si="6"/>
        <v>2862351</v>
      </c>
      <c r="Y40" s="188">
        <f t="shared" si="7"/>
        <v>0</v>
      </c>
    </row>
    <row r="41" spans="1:25" ht="15.6" customHeight="1">
      <c r="A41" s="115" t="s">
        <v>766</v>
      </c>
      <c r="B41" s="119">
        <v>1033717516</v>
      </c>
      <c r="C41" s="7" t="s">
        <v>399</v>
      </c>
      <c r="D41" s="7" t="s">
        <v>400</v>
      </c>
      <c r="E41" s="7" t="s">
        <v>401</v>
      </c>
      <c r="F41" s="7" t="s">
        <v>223</v>
      </c>
      <c r="G41" s="114" t="s">
        <v>191</v>
      </c>
      <c r="H41" s="7" t="s">
        <v>393</v>
      </c>
      <c r="I41" s="64"/>
      <c r="J41" s="119">
        <v>22</v>
      </c>
      <c r="K41" s="138">
        <v>2465868</v>
      </c>
      <c r="L41" s="139">
        <v>2557954.36</v>
      </c>
      <c r="M41" s="140">
        <f t="shared" si="13"/>
        <v>255795.43599999999</v>
      </c>
      <c r="N41" s="140">
        <f t="shared" si="14"/>
        <v>48601.132839999998</v>
      </c>
      <c r="O41" s="140">
        <f t="shared" si="15"/>
        <v>2862350.9288400002</v>
      </c>
      <c r="P41" s="140">
        <f t="shared" si="3"/>
        <v>2099057</v>
      </c>
      <c r="Q41" s="142" t="s">
        <v>836</v>
      </c>
      <c r="R41" s="144">
        <v>1300000</v>
      </c>
      <c r="S41" s="142">
        <v>1358000</v>
      </c>
      <c r="T41" s="111" t="s">
        <v>851</v>
      </c>
      <c r="U41" s="140">
        <f t="shared" si="8"/>
        <v>1875833</v>
      </c>
      <c r="V41" s="188">
        <f t="shared" si="4"/>
        <v>187583.30000000002</v>
      </c>
      <c r="W41" s="188">
        <f t="shared" si="5"/>
        <v>35640.827000000005</v>
      </c>
      <c r="X41" s="188">
        <f t="shared" si="6"/>
        <v>2099057</v>
      </c>
      <c r="Y41" s="188">
        <f t="shared" si="7"/>
        <v>0</v>
      </c>
    </row>
    <row r="42" spans="1:25" ht="15.6" customHeight="1">
      <c r="A42" s="115" t="s">
        <v>766</v>
      </c>
      <c r="B42" s="119">
        <v>1033734646</v>
      </c>
      <c r="C42" s="7" t="s">
        <v>306</v>
      </c>
      <c r="D42" s="7" t="s">
        <v>307</v>
      </c>
      <c r="E42" s="7" t="s">
        <v>308</v>
      </c>
      <c r="F42" s="7"/>
      <c r="G42" s="114" t="s">
        <v>191</v>
      </c>
      <c r="H42" s="7" t="s">
        <v>14</v>
      </c>
      <c r="I42" s="64"/>
      <c r="J42" s="119">
        <v>30</v>
      </c>
      <c r="K42" s="138">
        <v>2465868</v>
      </c>
      <c r="L42" s="139">
        <v>2557954.36</v>
      </c>
      <c r="M42" s="140">
        <f t="shared" si="13"/>
        <v>255795.43599999999</v>
      </c>
      <c r="N42" s="140">
        <f t="shared" si="14"/>
        <v>48601.132839999998</v>
      </c>
      <c r="O42" s="140">
        <f t="shared" si="15"/>
        <v>2862350.9288400002</v>
      </c>
      <c r="P42" s="140">
        <f t="shared" si="3"/>
        <v>2862351</v>
      </c>
      <c r="Q42" s="141"/>
      <c r="R42" s="144">
        <v>1300000</v>
      </c>
      <c r="S42" s="142">
        <v>1358000</v>
      </c>
      <c r="T42" s="111" t="s">
        <v>841</v>
      </c>
      <c r="U42" s="140">
        <f t="shared" si="8"/>
        <v>2557954</v>
      </c>
      <c r="V42" s="188">
        <f t="shared" si="4"/>
        <v>255795.40000000002</v>
      </c>
      <c r="W42" s="188">
        <f t="shared" si="5"/>
        <v>48601.126000000004</v>
      </c>
      <c r="X42" s="188">
        <f t="shared" si="6"/>
        <v>2862351</v>
      </c>
      <c r="Y42" s="188">
        <f t="shared" si="7"/>
        <v>0</v>
      </c>
    </row>
    <row r="43" spans="1:25" ht="15.6" customHeight="1">
      <c r="A43" s="115" t="s">
        <v>766</v>
      </c>
      <c r="B43" s="119">
        <v>1033736024</v>
      </c>
      <c r="C43" s="7" t="s">
        <v>42</v>
      </c>
      <c r="D43" s="7" t="s">
        <v>111</v>
      </c>
      <c r="E43" s="7" t="s">
        <v>112</v>
      </c>
      <c r="F43" s="7" t="s">
        <v>113</v>
      </c>
      <c r="G43" s="114" t="s">
        <v>191</v>
      </c>
      <c r="H43" s="7" t="s">
        <v>14</v>
      </c>
      <c r="I43" s="64">
        <v>45475</v>
      </c>
      <c r="J43" s="119">
        <v>2</v>
      </c>
      <c r="K43" s="138">
        <v>2465868</v>
      </c>
      <c r="L43" s="139">
        <v>2557954.36</v>
      </c>
      <c r="M43" s="140">
        <f t="shared" si="13"/>
        <v>255795.43599999999</v>
      </c>
      <c r="N43" s="140">
        <f t="shared" si="14"/>
        <v>48601.132839999998</v>
      </c>
      <c r="O43" s="140">
        <f t="shared" si="15"/>
        <v>2862350.9288400002</v>
      </c>
      <c r="P43" s="140">
        <f t="shared" si="3"/>
        <v>190823</v>
      </c>
      <c r="Q43" s="142" t="s">
        <v>871</v>
      </c>
      <c r="R43" s="143">
        <v>86667</v>
      </c>
      <c r="S43" s="142">
        <v>729580</v>
      </c>
      <c r="T43" s="111" t="s">
        <v>849</v>
      </c>
      <c r="U43" s="140">
        <f t="shared" si="8"/>
        <v>170530</v>
      </c>
      <c r="V43" s="188">
        <f t="shared" si="4"/>
        <v>17053</v>
      </c>
      <c r="W43" s="188">
        <f t="shared" si="5"/>
        <v>3240.07</v>
      </c>
      <c r="X43" s="188">
        <f t="shared" si="6"/>
        <v>190823</v>
      </c>
      <c r="Y43" s="188">
        <f t="shared" si="7"/>
        <v>0</v>
      </c>
    </row>
    <row r="44" spans="1:25" ht="15.6" customHeight="1">
      <c r="A44" s="115" t="s">
        <v>766</v>
      </c>
      <c r="B44" s="119">
        <v>1023963443</v>
      </c>
      <c r="C44" s="7" t="s">
        <v>818</v>
      </c>
      <c r="D44" s="7" t="s">
        <v>819</v>
      </c>
      <c r="E44" s="7" t="s">
        <v>47</v>
      </c>
      <c r="F44" s="7" t="s">
        <v>389</v>
      </c>
      <c r="G44" s="114" t="s">
        <v>191</v>
      </c>
      <c r="H44" s="64">
        <v>45484</v>
      </c>
      <c r="I44" s="64"/>
      <c r="J44" s="119">
        <v>20</v>
      </c>
      <c r="K44" s="138">
        <v>2465868</v>
      </c>
      <c r="L44" s="139">
        <v>2557954.36</v>
      </c>
      <c r="M44" s="140">
        <f t="shared" si="13"/>
        <v>255795.43599999999</v>
      </c>
      <c r="N44" s="140">
        <f t="shared" si="14"/>
        <v>48601.132839999998</v>
      </c>
      <c r="O44" s="140">
        <f t="shared" si="15"/>
        <v>2862350.9288400002</v>
      </c>
      <c r="P44" s="140">
        <f t="shared" si="3"/>
        <v>1908234</v>
      </c>
      <c r="Q44" s="142" t="s">
        <v>870</v>
      </c>
      <c r="R44" s="149">
        <v>866667</v>
      </c>
      <c r="S44" s="151">
        <v>905333</v>
      </c>
      <c r="T44" s="112" t="s">
        <v>779</v>
      </c>
      <c r="U44" s="140">
        <f t="shared" si="8"/>
        <v>1705303</v>
      </c>
      <c r="V44" s="188">
        <f t="shared" si="4"/>
        <v>170530.30000000002</v>
      </c>
      <c r="W44" s="188">
        <f t="shared" si="5"/>
        <v>32400.757000000005</v>
      </c>
      <c r="X44" s="188">
        <f t="shared" si="6"/>
        <v>1908234</v>
      </c>
      <c r="Y44" s="188"/>
    </row>
    <row r="45" spans="1:25" ht="15.6" customHeight="1">
      <c r="A45" s="115" t="s">
        <v>766</v>
      </c>
      <c r="B45" s="119">
        <v>1043009750</v>
      </c>
      <c r="C45" s="7" t="s">
        <v>278</v>
      </c>
      <c r="D45" s="7" t="s">
        <v>424</v>
      </c>
      <c r="E45" s="7" t="s">
        <v>425</v>
      </c>
      <c r="F45" s="7" t="s">
        <v>426</v>
      </c>
      <c r="G45" s="114" t="s">
        <v>13</v>
      </c>
      <c r="H45" s="64">
        <v>45395</v>
      </c>
      <c r="I45" s="64"/>
      <c r="J45" s="119">
        <v>28</v>
      </c>
      <c r="K45" s="138">
        <v>2465868</v>
      </c>
      <c r="L45" s="139">
        <v>2557954.36</v>
      </c>
      <c r="M45" s="140">
        <f t="shared" si="13"/>
        <v>255795.43599999999</v>
      </c>
      <c r="N45" s="140">
        <f t="shared" si="14"/>
        <v>48601.132839999998</v>
      </c>
      <c r="O45" s="140">
        <f t="shared" si="15"/>
        <v>2862350.9288400002</v>
      </c>
      <c r="P45" s="140">
        <f t="shared" si="3"/>
        <v>2671528</v>
      </c>
      <c r="Q45" s="142" t="s">
        <v>854</v>
      </c>
      <c r="R45" s="143">
        <f>1297334+46334+46334</f>
        <v>1390002</v>
      </c>
      <c r="S45" s="142">
        <v>1344747</v>
      </c>
      <c r="T45" s="111" t="s">
        <v>852</v>
      </c>
      <c r="U45" s="140">
        <f t="shared" si="8"/>
        <v>2387424</v>
      </c>
      <c r="V45" s="188">
        <f t="shared" si="4"/>
        <v>238742.40000000002</v>
      </c>
      <c r="W45" s="188">
        <f t="shared" si="5"/>
        <v>45361.056000000004</v>
      </c>
      <c r="X45" s="188">
        <f t="shared" si="6"/>
        <v>2671527</v>
      </c>
      <c r="Y45" s="188">
        <f t="shared" si="7"/>
        <v>-1</v>
      </c>
    </row>
    <row r="46" spans="1:25" ht="15.6" customHeight="1">
      <c r="A46" s="115" t="s">
        <v>766</v>
      </c>
      <c r="B46" s="119">
        <v>1063148543</v>
      </c>
      <c r="C46" s="7" t="s">
        <v>166</v>
      </c>
      <c r="D46" s="7" t="s">
        <v>208</v>
      </c>
      <c r="E46" s="7" t="s">
        <v>209</v>
      </c>
      <c r="F46" s="7" t="s">
        <v>99</v>
      </c>
      <c r="G46" s="114" t="s">
        <v>210</v>
      </c>
      <c r="H46" s="7" t="s">
        <v>14</v>
      </c>
      <c r="I46" s="64"/>
      <c r="J46" s="119">
        <v>30</v>
      </c>
      <c r="K46" s="138">
        <v>2465868</v>
      </c>
      <c r="L46" s="139">
        <v>2557954.36</v>
      </c>
      <c r="M46" s="140">
        <f t="shared" si="13"/>
        <v>255795.43599999999</v>
      </c>
      <c r="N46" s="140">
        <f t="shared" si="14"/>
        <v>48601.132839999998</v>
      </c>
      <c r="O46" s="140">
        <f t="shared" si="15"/>
        <v>2862350.9288400002</v>
      </c>
      <c r="P46" s="140">
        <f t="shared" si="3"/>
        <v>2862351</v>
      </c>
      <c r="Q46" s="141"/>
      <c r="R46" s="144">
        <v>1356000</v>
      </c>
      <c r="S46" s="142">
        <v>1409520</v>
      </c>
      <c r="T46" s="111" t="s">
        <v>844</v>
      </c>
      <c r="U46" s="140">
        <f t="shared" si="8"/>
        <v>2557954</v>
      </c>
      <c r="V46" s="188">
        <f t="shared" si="4"/>
        <v>255795.40000000002</v>
      </c>
      <c r="W46" s="188">
        <f t="shared" si="5"/>
        <v>48601.126000000004</v>
      </c>
      <c r="X46" s="188">
        <f t="shared" si="6"/>
        <v>2862351</v>
      </c>
      <c r="Y46" s="188">
        <f t="shared" si="7"/>
        <v>0</v>
      </c>
    </row>
    <row r="47" spans="1:25" ht="15.6" customHeight="1">
      <c r="A47" s="115" t="s">
        <v>766</v>
      </c>
      <c r="B47" s="119">
        <v>1086727870</v>
      </c>
      <c r="C47" s="7" t="s">
        <v>34</v>
      </c>
      <c r="D47" s="7" t="s">
        <v>35</v>
      </c>
      <c r="E47" s="7" t="s">
        <v>36</v>
      </c>
      <c r="F47" s="7" t="s">
        <v>37</v>
      </c>
      <c r="G47" s="114" t="s">
        <v>191</v>
      </c>
      <c r="H47" s="7" t="s">
        <v>14</v>
      </c>
      <c r="I47" s="64"/>
      <c r="J47" s="119">
        <v>30</v>
      </c>
      <c r="K47" s="138">
        <v>2465868</v>
      </c>
      <c r="L47" s="139">
        <v>2557954.36</v>
      </c>
      <c r="M47" s="140">
        <f t="shared" si="13"/>
        <v>255795.43599999999</v>
      </c>
      <c r="N47" s="140">
        <f t="shared" si="14"/>
        <v>48601.132839999998</v>
      </c>
      <c r="O47" s="140">
        <f t="shared" si="15"/>
        <v>2862350.9288400002</v>
      </c>
      <c r="P47" s="140">
        <f t="shared" si="3"/>
        <v>2862351</v>
      </c>
      <c r="Q47" s="141"/>
      <c r="R47" s="144">
        <v>1300000</v>
      </c>
      <c r="S47" s="142">
        <v>1358000</v>
      </c>
      <c r="T47" s="111" t="s">
        <v>841</v>
      </c>
      <c r="U47" s="140">
        <f t="shared" si="8"/>
        <v>2557954</v>
      </c>
      <c r="V47" s="188">
        <f t="shared" si="4"/>
        <v>255795.40000000002</v>
      </c>
      <c r="W47" s="188">
        <f t="shared" si="5"/>
        <v>48601.126000000004</v>
      </c>
      <c r="X47" s="188">
        <f t="shared" si="6"/>
        <v>2862351</v>
      </c>
      <c r="Y47" s="188">
        <f t="shared" si="7"/>
        <v>0</v>
      </c>
    </row>
    <row r="48" spans="1:25" ht="11.25">
      <c r="A48" s="115" t="s">
        <v>766</v>
      </c>
      <c r="B48" s="119">
        <v>1115948145</v>
      </c>
      <c r="C48" s="7" t="s">
        <v>61</v>
      </c>
      <c r="D48" s="7" t="s">
        <v>62</v>
      </c>
      <c r="E48" s="7" t="s">
        <v>63</v>
      </c>
      <c r="F48" s="7"/>
      <c r="G48" s="114" t="s">
        <v>191</v>
      </c>
      <c r="H48" s="7" t="s">
        <v>14</v>
      </c>
      <c r="I48" s="64"/>
      <c r="J48" s="119">
        <v>30</v>
      </c>
      <c r="K48" s="138">
        <v>2465868</v>
      </c>
      <c r="L48" s="139">
        <v>2557954.36</v>
      </c>
      <c r="M48" s="140">
        <f t="shared" si="13"/>
        <v>255795.43599999999</v>
      </c>
      <c r="N48" s="140">
        <f t="shared" si="14"/>
        <v>48601.132839999998</v>
      </c>
      <c r="O48" s="140">
        <f t="shared" si="15"/>
        <v>2862350.9288400002</v>
      </c>
      <c r="P48" s="140">
        <f t="shared" si="3"/>
        <v>2862351</v>
      </c>
      <c r="Q48" s="146"/>
      <c r="R48" s="144">
        <v>1300000</v>
      </c>
      <c r="S48" s="144">
        <v>1358000</v>
      </c>
      <c r="T48" s="115" t="s">
        <v>841</v>
      </c>
      <c r="U48" s="140">
        <f t="shared" si="8"/>
        <v>2557954</v>
      </c>
      <c r="V48" s="188">
        <f t="shared" si="4"/>
        <v>255795.40000000002</v>
      </c>
      <c r="W48" s="188">
        <f t="shared" si="5"/>
        <v>48601.126000000004</v>
      </c>
      <c r="X48" s="188">
        <f t="shared" si="6"/>
        <v>2862351</v>
      </c>
      <c r="Y48" s="188">
        <f t="shared" si="7"/>
        <v>0</v>
      </c>
    </row>
    <row r="49" spans="1:25" ht="15.6" customHeight="1">
      <c r="A49" s="115" t="s">
        <v>766</v>
      </c>
      <c r="B49" s="119">
        <v>1023949523</v>
      </c>
      <c r="C49" s="7" t="s">
        <v>166</v>
      </c>
      <c r="D49" s="7" t="s">
        <v>400</v>
      </c>
      <c r="E49" s="7" t="s">
        <v>797</v>
      </c>
      <c r="F49" s="7" t="s">
        <v>338</v>
      </c>
      <c r="G49" s="114" t="s">
        <v>191</v>
      </c>
      <c r="H49" s="64">
        <v>45444</v>
      </c>
      <c r="I49" s="64"/>
      <c r="J49" s="119">
        <v>30</v>
      </c>
      <c r="K49" s="138">
        <v>2465868</v>
      </c>
      <c r="L49" s="139">
        <v>2557954.36</v>
      </c>
      <c r="M49" s="140">
        <f t="shared" ref="M49:M50" si="18">+L49*10%</f>
        <v>255795.43599999999</v>
      </c>
      <c r="N49" s="140">
        <f t="shared" ref="N49:N50" si="19">+M49*19%</f>
        <v>48601.132839999998</v>
      </c>
      <c r="O49" s="140">
        <f t="shared" ref="O49:O50" si="20">+L49+M49+N49</f>
        <v>2862350.9288400002</v>
      </c>
      <c r="P49" s="140">
        <f t="shared" ref="P49:P50" si="21">+ROUND(((O49/30)*J49),0)</f>
        <v>2862351</v>
      </c>
      <c r="Q49" s="141" t="s">
        <v>807</v>
      </c>
      <c r="R49" s="144">
        <v>1300000</v>
      </c>
      <c r="S49" s="142">
        <v>1358000</v>
      </c>
      <c r="T49" s="111" t="s">
        <v>852</v>
      </c>
      <c r="U49" s="140">
        <f t="shared" ref="U49" si="22">+ROUND(((L49/30)*J49),0)</f>
        <v>2557954</v>
      </c>
      <c r="V49" s="188">
        <f t="shared" si="4"/>
        <v>255795.40000000002</v>
      </c>
      <c r="W49" s="188">
        <f t="shared" si="5"/>
        <v>48601.126000000004</v>
      </c>
      <c r="X49" s="188">
        <f t="shared" si="6"/>
        <v>2862351</v>
      </c>
      <c r="Y49" s="188">
        <f t="shared" si="7"/>
        <v>0</v>
      </c>
    </row>
    <row r="50" spans="1:25" ht="15.6" customHeight="1">
      <c r="A50" s="115" t="s">
        <v>766</v>
      </c>
      <c r="B50" s="119">
        <v>1026273552</v>
      </c>
      <c r="C50" s="7" t="s">
        <v>352</v>
      </c>
      <c r="D50" s="7" t="s">
        <v>84</v>
      </c>
      <c r="E50" s="7" t="s">
        <v>798</v>
      </c>
      <c r="F50" s="7" t="s">
        <v>799</v>
      </c>
      <c r="G50" s="114" t="s">
        <v>13</v>
      </c>
      <c r="H50" s="64">
        <v>45456</v>
      </c>
      <c r="I50" s="64"/>
      <c r="J50" s="119">
        <v>30</v>
      </c>
      <c r="K50" s="138">
        <v>2465868</v>
      </c>
      <c r="L50" s="139">
        <v>2557954.36</v>
      </c>
      <c r="M50" s="140">
        <f t="shared" si="18"/>
        <v>255795.43599999999</v>
      </c>
      <c r="N50" s="140">
        <f t="shared" si="19"/>
        <v>48601.132839999998</v>
      </c>
      <c r="O50" s="140">
        <f t="shared" si="20"/>
        <v>2862350.9288400002</v>
      </c>
      <c r="P50" s="140">
        <f t="shared" si="21"/>
        <v>2862351</v>
      </c>
      <c r="Q50" s="141" t="s">
        <v>794</v>
      </c>
      <c r="R50" s="144">
        <v>1390000</v>
      </c>
      <c r="S50" s="142">
        <v>1440800</v>
      </c>
      <c r="T50" s="115" t="s">
        <v>841</v>
      </c>
      <c r="U50" s="140">
        <f>+ROUND(((L50/30)*J50),0)</f>
        <v>2557954</v>
      </c>
      <c r="V50" s="188">
        <f t="shared" si="4"/>
        <v>255795.40000000002</v>
      </c>
      <c r="W50" s="188">
        <f t="shared" si="5"/>
        <v>48601.126000000004</v>
      </c>
      <c r="X50" s="188">
        <f t="shared" si="6"/>
        <v>2862351</v>
      </c>
      <c r="Y50" s="188">
        <f t="shared" si="7"/>
        <v>0</v>
      </c>
    </row>
    <row r="51" spans="1:25" ht="15.6" customHeight="1">
      <c r="A51" s="115" t="s">
        <v>766</v>
      </c>
      <c r="B51" s="119">
        <v>1126122551</v>
      </c>
      <c r="C51" s="7" t="s">
        <v>342</v>
      </c>
      <c r="D51" s="7" t="s">
        <v>343</v>
      </c>
      <c r="E51" s="7" t="s">
        <v>344</v>
      </c>
      <c r="F51" s="7" t="s">
        <v>226</v>
      </c>
      <c r="G51" s="114" t="s">
        <v>13</v>
      </c>
      <c r="H51" s="7" t="s">
        <v>14</v>
      </c>
      <c r="I51" s="64"/>
      <c r="J51" s="119">
        <v>30</v>
      </c>
      <c r="K51" s="138">
        <v>2465868</v>
      </c>
      <c r="L51" s="139">
        <v>2557954.36</v>
      </c>
      <c r="M51" s="140">
        <f t="shared" si="13"/>
        <v>255795.43599999999</v>
      </c>
      <c r="N51" s="140">
        <f t="shared" si="14"/>
        <v>48601.132839999998</v>
      </c>
      <c r="O51" s="140">
        <f t="shared" si="15"/>
        <v>2862350.9288400002</v>
      </c>
      <c r="P51" s="140">
        <f t="shared" si="3"/>
        <v>2862351</v>
      </c>
      <c r="Q51" s="141"/>
      <c r="R51" s="144">
        <v>1390000</v>
      </c>
      <c r="S51" s="142">
        <v>1440800</v>
      </c>
      <c r="T51" s="111" t="s">
        <v>852</v>
      </c>
      <c r="U51" s="140">
        <f t="shared" si="8"/>
        <v>2557954</v>
      </c>
      <c r="V51" s="188">
        <f t="shared" si="4"/>
        <v>255795.40000000002</v>
      </c>
      <c r="W51" s="188">
        <f t="shared" si="5"/>
        <v>48601.126000000004</v>
      </c>
      <c r="X51" s="188">
        <f t="shared" si="6"/>
        <v>2862351</v>
      </c>
      <c r="Y51" s="188">
        <f t="shared" si="7"/>
        <v>0</v>
      </c>
    </row>
    <row r="52" spans="1:25" ht="15.6" customHeight="1">
      <c r="A52" s="115" t="s">
        <v>767</v>
      </c>
      <c r="B52" s="119">
        <v>6089430</v>
      </c>
      <c r="C52" s="7" t="s">
        <v>168</v>
      </c>
      <c r="D52" s="7" t="s">
        <v>403</v>
      </c>
      <c r="E52" s="7" t="s">
        <v>404</v>
      </c>
      <c r="F52" s="7" t="s">
        <v>405</v>
      </c>
      <c r="G52" s="114" t="s">
        <v>191</v>
      </c>
      <c r="H52" s="7" t="s">
        <v>393</v>
      </c>
      <c r="I52" s="64"/>
      <c r="J52" s="119">
        <v>25</v>
      </c>
      <c r="K52" s="138">
        <v>2465868</v>
      </c>
      <c r="L52" s="139">
        <v>2557954.36</v>
      </c>
      <c r="M52" s="140">
        <f t="shared" si="13"/>
        <v>255795.43599999999</v>
      </c>
      <c r="N52" s="140">
        <f t="shared" si="14"/>
        <v>48601.132839999998</v>
      </c>
      <c r="O52" s="140">
        <f t="shared" si="15"/>
        <v>2862350.9288400002</v>
      </c>
      <c r="P52" s="140">
        <f t="shared" si="3"/>
        <v>2385292</v>
      </c>
      <c r="Q52" s="142" t="s">
        <v>869</v>
      </c>
      <c r="R52" s="144">
        <v>1300000</v>
      </c>
      <c r="S52" s="150">
        <v>1358000</v>
      </c>
      <c r="T52" s="111" t="s">
        <v>852</v>
      </c>
      <c r="U52" s="140">
        <f t="shared" si="8"/>
        <v>2131629</v>
      </c>
      <c r="V52" s="188">
        <f t="shared" si="4"/>
        <v>213162.90000000002</v>
      </c>
      <c r="W52" s="188">
        <f t="shared" si="5"/>
        <v>40500.951000000008</v>
      </c>
      <c r="X52" s="188">
        <f t="shared" si="6"/>
        <v>2385293</v>
      </c>
      <c r="Y52" s="188">
        <f t="shared" si="7"/>
        <v>1</v>
      </c>
    </row>
    <row r="53" spans="1:25" ht="15.6" customHeight="1">
      <c r="A53" s="115" t="s">
        <v>767</v>
      </c>
      <c r="B53" s="119">
        <v>39659470</v>
      </c>
      <c r="C53" s="7" t="s">
        <v>177</v>
      </c>
      <c r="D53" s="7" t="s">
        <v>178</v>
      </c>
      <c r="E53" s="7" t="s">
        <v>179</v>
      </c>
      <c r="F53" s="7" t="s">
        <v>180</v>
      </c>
      <c r="G53" s="114" t="s">
        <v>191</v>
      </c>
      <c r="H53" s="64">
        <v>45369</v>
      </c>
      <c r="I53" s="64"/>
      <c r="J53" s="119">
        <v>30</v>
      </c>
      <c r="K53" s="138">
        <v>2465868</v>
      </c>
      <c r="L53" s="139">
        <v>2557954.36</v>
      </c>
      <c r="M53" s="140">
        <f t="shared" si="13"/>
        <v>255795.43599999999</v>
      </c>
      <c r="N53" s="140">
        <f t="shared" si="14"/>
        <v>48601.132839999998</v>
      </c>
      <c r="O53" s="140">
        <f t="shared" si="15"/>
        <v>2862350.9288400002</v>
      </c>
      <c r="P53" s="140">
        <f t="shared" si="3"/>
        <v>2862351</v>
      </c>
      <c r="Q53" s="141"/>
      <c r="R53" s="144">
        <v>1300000</v>
      </c>
      <c r="S53" s="142">
        <v>1358000</v>
      </c>
      <c r="T53" s="111" t="s">
        <v>852</v>
      </c>
      <c r="U53" s="140">
        <f t="shared" si="8"/>
        <v>2557954</v>
      </c>
      <c r="V53" s="188">
        <f t="shared" si="4"/>
        <v>255795.40000000002</v>
      </c>
      <c r="W53" s="188">
        <f t="shared" si="5"/>
        <v>48601.126000000004</v>
      </c>
      <c r="X53" s="188">
        <f t="shared" si="6"/>
        <v>2862351</v>
      </c>
      <c r="Y53" s="188">
        <f t="shared" si="7"/>
        <v>0</v>
      </c>
    </row>
    <row r="54" spans="1:25" ht="15.6" customHeight="1">
      <c r="A54" s="115" t="s">
        <v>767</v>
      </c>
      <c r="B54" s="119">
        <v>51944258</v>
      </c>
      <c r="C54" s="7" t="s">
        <v>266</v>
      </c>
      <c r="D54" s="7" t="s">
        <v>270</v>
      </c>
      <c r="E54" s="7" t="s">
        <v>271</v>
      </c>
      <c r="F54" s="7" t="s">
        <v>272</v>
      </c>
      <c r="G54" s="114" t="s">
        <v>191</v>
      </c>
      <c r="H54" s="7" t="s">
        <v>14</v>
      </c>
      <c r="I54" s="64"/>
      <c r="J54" s="119">
        <v>30</v>
      </c>
      <c r="K54" s="138">
        <v>2465868</v>
      </c>
      <c r="L54" s="139">
        <v>2557954.36</v>
      </c>
      <c r="M54" s="140">
        <f t="shared" si="13"/>
        <v>255795.43599999999</v>
      </c>
      <c r="N54" s="140">
        <f t="shared" si="14"/>
        <v>48601.132839999998</v>
      </c>
      <c r="O54" s="140">
        <f t="shared" si="15"/>
        <v>2862350.9288400002</v>
      </c>
      <c r="P54" s="140">
        <f t="shared" si="3"/>
        <v>2862351</v>
      </c>
      <c r="Q54" s="141"/>
      <c r="R54" s="144">
        <v>1300000</v>
      </c>
      <c r="S54" s="150">
        <v>1358000</v>
      </c>
      <c r="T54" s="111" t="s">
        <v>841</v>
      </c>
      <c r="U54" s="140">
        <f t="shared" si="8"/>
        <v>2557954</v>
      </c>
      <c r="V54" s="188">
        <f t="shared" si="4"/>
        <v>255795.40000000002</v>
      </c>
      <c r="W54" s="188">
        <f t="shared" si="5"/>
        <v>48601.126000000004</v>
      </c>
      <c r="X54" s="188">
        <f t="shared" si="6"/>
        <v>2862351</v>
      </c>
      <c r="Y54" s="188">
        <f t="shared" si="7"/>
        <v>0</v>
      </c>
    </row>
    <row r="55" spans="1:25" ht="15.6" customHeight="1">
      <c r="A55" s="115" t="s">
        <v>767</v>
      </c>
      <c r="B55" s="119">
        <v>52365313</v>
      </c>
      <c r="C55" s="7" t="s">
        <v>64</v>
      </c>
      <c r="D55" s="7" t="s">
        <v>28</v>
      </c>
      <c r="E55" s="7" t="s">
        <v>159</v>
      </c>
      <c r="F55" s="7" t="s">
        <v>54</v>
      </c>
      <c r="G55" s="114" t="s">
        <v>191</v>
      </c>
      <c r="H55" s="7" t="s">
        <v>393</v>
      </c>
      <c r="I55" s="64"/>
      <c r="J55" s="119">
        <v>30</v>
      </c>
      <c r="K55" s="138">
        <v>2465868</v>
      </c>
      <c r="L55" s="139">
        <v>2557954.36</v>
      </c>
      <c r="M55" s="140">
        <f t="shared" si="13"/>
        <v>255795.43599999999</v>
      </c>
      <c r="N55" s="140">
        <f t="shared" si="14"/>
        <v>48601.132839999998</v>
      </c>
      <c r="O55" s="140">
        <f t="shared" si="15"/>
        <v>2862350.9288400002</v>
      </c>
      <c r="P55" s="140">
        <f t="shared" si="3"/>
        <v>2862351</v>
      </c>
      <c r="Q55" s="141"/>
      <c r="R55" s="144">
        <v>1300000</v>
      </c>
      <c r="S55" s="150">
        <v>1358000</v>
      </c>
      <c r="T55" s="111" t="s">
        <v>851</v>
      </c>
      <c r="U55" s="140">
        <f t="shared" si="8"/>
        <v>2557954</v>
      </c>
      <c r="V55" s="188">
        <f t="shared" si="4"/>
        <v>255795.40000000002</v>
      </c>
      <c r="W55" s="188">
        <f t="shared" si="5"/>
        <v>48601.126000000004</v>
      </c>
      <c r="X55" s="188">
        <f t="shared" si="6"/>
        <v>2862351</v>
      </c>
      <c r="Y55" s="188">
        <f t="shared" si="7"/>
        <v>0</v>
      </c>
    </row>
    <row r="56" spans="1:25" ht="15.6" customHeight="1">
      <c r="A56" s="115" t="s">
        <v>767</v>
      </c>
      <c r="B56" s="119">
        <v>53089308</v>
      </c>
      <c r="C56" s="7" t="s">
        <v>390</v>
      </c>
      <c r="D56" s="7" t="s">
        <v>391</v>
      </c>
      <c r="E56" s="7" t="s">
        <v>392</v>
      </c>
      <c r="F56" s="7"/>
      <c r="G56" s="114" t="s">
        <v>191</v>
      </c>
      <c r="H56" s="7" t="s">
        <v>393</v>
      </c>
      <c r="I56" s="64"/>
      <c r="J56" s="119">
        <v>30</v>
      </c>
      <c r="K56" s="138">
        <v>2465868</v>
      </c>
      <c r="L56" s="139">
        <v>2557954.36</v>
      </c>
      <c r="M56" s="140">
        <f t="shared" si="13"/>
        <v>255795.43599999999</v>
      </c>
      <c r="N56" s="140">
        <f t="shared" si="14"/>
        <v>48601.132839999998</v>
      </c>
      <c r="O56" s="140">
        <f t="shared" si="15"/>
        <v>2862350.9288400002</v>
      </c>
      <c r="P56" s="140">
        <f t="shared" si="3"/>
        <v>2862351</v>
      </c>
      <c r="Q56" s="141"/>
      <c r="R56" s="144">
        <v>1300000</v>
      </c>
      <c r="S56" s="150">
        <v>1358000</v>
      </c>
      <c r="T56" s="111" t="s">
        <v>779</v>
      </c>
      <c r="U56" s="140">
        <f t="shared" si="8"/>
        <v>2557954</v>
      </c>
      <c r="V56" s="188">
        <f t="shared" si="4"/>
        <v>255795.40000000002</v>
      </c>
      <c r="W56" s="188">
        <f t="shared" si="5"/>
        <v>48601.126000000004</v>
      </c>
      <c r="X56" s="188">
        <f t="shared" si="6"/>
        <v>2862351</v>
      </c>
      <c r="Y56" s="188">
        <f t="shared" si="7"/>
        <v>0</v>
      </c>
    </row>
    <row r="57" spans="1:25" ht="15.6" customHeight="1">
      <c r="A57" s="115" t="s">
        <v>767</v>
      </c>
      <c r="B57" s="119">
        <v>80366379</v>
      </c>
      <c r="C57" s="7" t="s">
        <v>87</v>
      </c>
      <c r="D57" s="7"/>
      <c r="E57" s="7" t="s">
        <v>88</v>
      </c>
      <c r="F57" s="7"/>
      <c r="G57" s="114" t="s">
        <v>89</v>
      </c>
      <c r="H57" s="7" t="s">
        <v>14</v>
      </c>
      <c r="I57" s="64"/>
      <c r="J57" s="119">
        <v>30</v>
      </c>
      <c r="K57" s="138">
        <v>2465868</v>
      </c>
      <c r="L57" s="139">
        <v>2557954.36</v>
      </c>
      <c r="M57" s="140">
        <f t="shared" si="13"/>
        <v>255795.43599999999</v>
      </c>
      <c r="N57" s="140">
        <f t="shared" si="14"/>
        <v>48601.132839999998</v>
      </c>
      <c r="O57" s="140">
        <f t="shared" si="15"/>
        <v>2862350.9288400002</v>
      </c>
      <c r="P57" s="140">
        <f t="shared" si="3"/>
        <v>2862351</v>
      </c>
      <c r="Q57" s="141"/>
      <c r="R57" s="150">
        <v>1356000</v>
      </c>
      <c r="S57" s="150">
        <v>1409520</v>
      </c>
      <c r="T57" s="111" t="s">
        <v>841</v>
      </c>
      <c r="U57" s="140">
        <f t="shared" si="8"/>
        <v>2557954</v>
      </c>
      <c r="V57" s="188">
        <f t="shared" si="4"/>
        <v>255795.40000000002</v>
      </c>
      <c r="W57" s="188">
        <f t="shared" si="5"/>
        <v>48601.126000000004</v>
      </c>
      <c r="X57" s="188">
        <f t="shared" si="6"/>
        <v>2862351</v>
      </c>
      <c r="Y57" s="188">
        <f t="shared" si="7"/>
        <v>0</v>
      </c>
    </row>
    <row r="58" spans="1:25" ht="15.6" customHeight="1">
      <c r="A58" s="115" t="s">
        <v>767</v>
      </c>
      <c r="B58" s="119">
        <v>1000803836</v>
      </c>
      <c r="C58" s="7" t="s">
        <v>25</v>
      </c>
      <c r="D58" s="7" t="s">
        <v>26</v>
      </c>
      <c r="E58" s="7" t="s">
        <v>27</v>
      </c>
      <c r="F58" s="7"/>
      <c r="G58" s="114" t="s">
        <v>191</v>
      </c>
      <c r="H58" s="7" t="s">
        <v>14</v>
      </c>
      <c r="I58" s="64"/>
      <c r="J58" s="119">
        <v>30</v>
      </c>
      <c r="K58" s="138">
        <v>2465868</v>
      </c>
      <c r="L58" s="139">
        <v>2557954.36</v>
      </c>
      <c r="M58" s="140">
        <f t="shared" si="13"/>
        <v>255795.43599999999</v>
      </c>
      <c r="N58" s="140">
        <f t="shared" si="14"/>
        <v>48601.132839999998</v>
      </c>
      <c r="O58" s="140">
        <f t="shared" si="15"/>
        <v>2862350.9288400002</v>
      </c>
      <c r="P58" s="140">
        <f t="shared" si="3"/>
        <v>2862351</v>
      </c>
      <c r="Q58" s="141"/>
      <c r="R58" s="144">
        <v>1300000</v>
      </c>
      <c r="S58" s="150">
        <v>1358000</v>
      </c>
      <c r="T58" s="111" t="s">
        <v>841</v>
      </c>
      <c r="U58" s="140">
        <f t="shared" si="8"/>
        <v>2557954</v>
      </c>
      <c r="V58" s="188">
        <f t="shared" si="4"/>
        <v>255795.40000000002</v>
      </c>
      <c r="W58" s="188">
        <f t="shared" si="5"/>
        <v>48601.126000000004</v>
      </c>
      <c r="X58" s="188">
        <f t="shared" si="6"/>
        <v>2862351</v>
      </c>
      <c r="Y58" s="188">
        <f t="shared" si="7"/>
        <v>0</v>
      </c>
    </row>
    <row r="59" spans="1:25" ht="15.6" customHeight="1">
      <c r="A59" s="115" t="s">
        <v>767</v>
      </c>
      <c r="B59" s="119">
        <v>1073673765</v>
      </c>
      <c r="C59" s="7" t="s">
        <v>277</v>
      </c>
      <c r="D59" s="7" t="s">
        <v>278</v>
      </c>
      <c r="E59" s="7" t="s">
        <v>279</v>
      </c>
      <c r="F59" s="7" t="s">
        <v>280</v>
      </c>
      <c r="G59" s="114" t="s">
        <v>191</v>
      </c>
      <c r="H59" s="7" t="s">
        <v>14</v>
      </c>
      <c r="I59" s="64"/>
      <c r="J59" s="119">
        <v>28</v>
      </c>
      <c r="K59" s="138">
        <v>2465868</v>
      </c>
      <c r="L59" s="139">
        <v>2557954.36</v>
      </c>
      <c r="M59" s="140">
        <f>+L59*10%</f>
        <v>255795.43599999999</v>
      </c>
      <c r="N59" s="140">
        <f>+M59*19%</f>
        <v>48601.132839999998</v>
      </c>
      <c r="O59" s="140">
        <f>+L59+M59+N59</f>
        <v>2862350.9288400002</v>
      </c>
      <c r="P59" s="140">
        <f>+ROUND(((O59/30)*J59),0)</f>
        <v>2671528</v>
      </c>
      <c r="Q59" s="142" t="s">
        <v>864</v>
      </c>
      <c r="R59" s="143">
        <f>1213334+43334+43334</f>
        <v>1300002</v>
      </c>
      <c r="S59" s="142">
        <v>1267467</v>
      </c>
      <c r="T59" s="111" t="s">
        <v>841</v>
      </c>
      <c r="U59" s="140">
        <f>+ROUND(((L59/30)*J59),0)</f>
        <v>2387424</v>
      </c>
      <c r="V59" s="188">
        <f t="shared" si="4"/>
        <v>238742.40000000002</v>
      </c>
      <c r="W59" s="188">
        <f t="shared" si="5"/>
        <v>45361.056000000004</v>
      </c>
      <c r="X59" s="188">
        <f t="shared" si="6"/>
        <v>2671527</v>
      </c>
      <c r="Y59" s="188">
        <f t="shared" si="7"/>
        <v>-1</v>
      </c>
    </row>
    <row r="60" spans="1:25" ht="15.6" customHeight="1">
      <c r="A60" s="115" t="s">
        <v>767</v>
      </c>
      <c r="B60" s="119">
        <v>1010003092</v>
      </c>
      <c r="C60" s="7" t="s">
        <v>273</v>
      </c>
      <c r="D60" s="7" t="s">
        <v>114</v>
      </c>
      <c r="E60" s="7" t="s">
        <v>407</v>
      </c>
      <c r="F60" s="7" t="s">
        <v>408</v>
      </c>
      <c r="G60" s="114" t="s">
        <v>13</v>
      </c>
      <c r="H60" s="7" t="s">
        <v>393</v>
      </c>
      <c r="I60" s="64"/>
      <c r="J60" s="119">
        <v>30</v>
      </c>
      <c r="K60" s="138">
        <v>2465868</v>
      </c>
      <c r="L60" s="139">
        <v>2557954.36</v>
      </c>
      <c r="M60" s="140">
        <f>+L60*10%</f>
        <v>255795.43599999999</v>
      </c>
      <c r="N60" s="140">
        <f>+M60*19%</f>
        <v>48601.132839999998</v>
      </c>
      <c r="O60" s="140">
        <f>+L60+M60+N60</f>
        <v>2862350.9288400002</v>
      </c>
      <c r="P60" s="140">
        <f>+ROUND(((O60/30)*J60),0)</f>
        <v>2862351</v>
      </c>
      <c r="Q60" s="141"/>
      <c r="R60" s="144">
        <v>1390000</v>
      </c>
      <c r="S60" s="142">
        <v>1440800</v>
      </c>
      <c r="T60" s="111" t="s">
        <v>841</v>
      </c>
      <c r="U60" s="140">
        <f>+ROUND(((L60/30)*J60),0)</f>
        <v>2557954</v>
      </c>
      <c r="V60" s="188">
        <f t="shared" si="4"/>
        <v>255795.40000000002</v>
      </c>
      <c r="W60" s="188">
        <f t="shared" si="5"/>
        <v>48601.126000000004</v>
      </c>
      <c r="X60" s="188">
        <f t="shared" si="6"/>
        <v>2862351</v>
      </c>
      <c r="Y60" s="188">
        <f t="shared" si="7"/>
        <v>0</v>
      </c>
    </row>
    <row r="61" spans="1:25" ht="15.6" customHeight="1">
      <c r="A61" s="115" t="s">
        <v>767</v>
      </c>
      <c r="B61" s="119">
        <v>1001276187</v>
      </c>
      <c r="C61" s="7" t="s">
        <v>168</v>
      </c>
      <c r="D61" s="7" t="s">
        <v>397</v>
      </c>
      <c r="E61" s="7" t="s">
        <v>184</v>
      </c>
      <c r="F61" s="7" t="s">
        <v>398</v>
      </c>
      <c r="G61" s="114" t="s">
        <v>191</v>
      </c>
      <c r="H61" s="7" t="s">
        <v>393</v>
      </c>
      <c r="I61" s="64"/>
      <c r="J61" s="119">
        <v>26</v>
      </c>
      <c r="K61" s="138">
        <v>2465868</v>
      </c>
      <c r="L61" s="139">
        <v>2557954.36</v>
      </c>
      <c r="M61" s="140">
        <f t="shared" si="13"/>
        <v>255795.43599999999</v>
      </c>
      <c r="N61" s="140">
        <f t="shared" si="14"/>
        <v>48601.132839999998</v>
      </c>
      <c r="O61" s="140">
        <f t="shared" si="15"/>
        <v>2862350.9288400002</v>
      </c>
      <c r="P61" s="140">
        <f t="shared" si="3"/>
        <v>2480704</v>
      </c>
      <c r="Q61" s="142" t="s">
        <v>823</v>
      </c>
      <c r="R61" s="149">
        <f>1126667+173334</f>
        <v>1300001</v>
      </c>
      <c r="S61" s="150">
        <v>1336400</v>
      </c>
      <c r="T61" s="111" t="s">
        <v>851</v>
      </c>
      <c r="U61" s="140">
        <f t="shared" si="8"/>
        <v>2216894</v>
      </c>
      <c r="V61" s="188">
        <f t="shared" si="4"/>
        <v>221689.40000000002</v>
      </c>
      <c r="W61" s="188">
        <f t="shared" si="5"/>
        <v>42120.986000000004</v>
      </c>
      <c r="X61" s="188">
        <f t="shared" si="6"/>
        <v>2480704</v>
      </c>
      <c r="Y61" s="188">
        <f t="shared" si="7"/>
        <v>0</v>
      </c>
    </row>
    <row r="62" spans="1:25" ht="15.6" customHeight="1">
      <c r="A62" s="115" t="s">
        <v>767</v>
      </c>
      <c r="B62" s="119">
        <v>1022940252</v>
      </c>
      <c r="C62" s="7" t="s">
        <v>245</v>
      </c>
      <c r="D62" s="7" t="s">
        <v>115</v>
      </c>
      <c r="E62" s="7" t="s">
        <v>47</v>
      </c>
      <c r="F62" s="7" t="s">
        <v>159</v>
      </c>
      <c r="G62" s="114" t="s">
        <v>191</v>
      </c>
      <c r="H62" s="7" t="s">
        <v>14</v>
      </c>
      <c r="I62" s="64"/>
      <c r="J62" s="119">
        <v>30</v>
      </c>
      <c r="K62" s="138">
        <v>2465868</v>
      </c>
      <c r="L62" s="139">
        <v>2557954.36</v>
      </c>
      <c r="M62" s="140">
        <f t="shared" si="13"/>
        <v>255795.43599999999</v>
      </c>
      <c r="N62" s="140">
        <f t="shared" si="14"/>
        <v>48601.132839999998</v>
      </c>
      <c r="O62" s="140">
        <f t="shared" si="15"/>
        <v>2862350.9288400002</v>
      </c>
      <c r="P62" s="140">
        <f t="shared" si="3"/>
        <v>2862351</v>
      </c>
      <c r="Q62" s="141"/>
      <c r="R62" s="144">
        <v>1300000</v>
      </c>
      <c r="S62" s="150">
        <v>1358000</v>
      </c>
      <c r="T62" s="111" t="s">
        <v>841</v>
      </c>
      <c r="U62" s="140">
        <f t="shared" si="8"/>
        <v>2557954</v>
      </c>
      <c r="V62" s="188">
        <f t="shared" si="4"/>
        <v>255795.40000000002</v>
      </c>
      <c r="W62" s="188">
        <f t="shared" si="5"/>
        <v>48601.126000000004</v>
      </c>
      <c r="X62" s="188">
        <f t="shared" si="6"/>
        <v>2862351</v>
      </c>
      <c r="Y62" s="188">
        <f t="shared" si="7"/>
        <v>0</v>
      </c>
    </row>
    <row r="63" spans="1:25" ht="15.6" customHeight="1">
      <c r="A63" s="115" t="s">
        <v>767</v>
      </c>
      <c r="B63" s="119">
        <v>1023896564</v>
      </c>
      <c r="C63" s="7" t="s">
        <v>412</v>
      </c>
      <c r="D63" s="7" t="s">
        <v>413</v>
      </c>
      <c r="E63" s="7" t="s">
        <v>414</v>
      </c>
      <c r="F63" s="7" t="s">
        <v>222</v>
      </c>
      <c r="G63" s="114" t="s">
        <v>191</v>
      </c>
      <c r="H63" s="64">
        <v>45385</v>
      </c>
      <c r="I63" s="64"/>
      <c r="J63" s="119">
        <v>27</v>
      </c>
      <c r="K63" s="138">
        <v>2465868</v>
      </c>
      <c r="L63" s="139">
        <v>2557954.36</v>
      </c>
      <c r="M63" s="140">
        <f t="shared" si="13"/>
        <v>255795.43599999999</v>
      </c>
      <c r="N63" s="140">
        <f t="shared" si="14"/>
        <v>48601.132839999998</v>
      </c>
      <c r="O63" s="140">
        <f t="shared" si="15"/>
        <v>2862350.9288400002</v>
      </c>
      <c r="P63" s="140">
        <f>+ROUND(((O63/30)*J63),0)</f>
        <v>2576116</v>
      </c>
      <c r="Q63" s="142" t="s">
        <v>824</v>
      </c>
      <c r="R63" s="149">
        <f>1170000+130001</f>
        <v>1300001</v>
      </c>
      <c r="S63" s="142">
        <v>1341800</v>
      </c>
      <c r="T63" s="111" t="s">
        <v>852</v>
      </c>
      <c r="U63" s="140">
        <f t="shared" si="8"/>
        <v>2302159</v>
      </c>
      <c r="V63" s="188">
        <f t="shared" si="4"/>
        <v>230215.90000000002</v>
      </c>
      <c r="W63" s="188">
        <f t="shared" si="5"/>
        <v>43741.021000000008</v>
      </c>
      <c r="X63" s="188">
        <f t="shared" si="6"/>
        <v>2576116</v>
      </c>
      <c r="Y63" s="188">
        <f t="shared" si="7"/>
        <v>0</v>
      </c>
    </row>
    <row r="64" spans="1:25" ht="15.6" customHeight="1">
      <c r="A64" s="115" t="s">
        <v>767</v>
      </c>
      <c r="B64" s="119">
        <v>1033802653</v>
      </c>
      <c r="C64" s="7" t="s">
        <v>361</v>
      </c>
      <c r="D64" s="7"/>
      <c r="E64" s="7" t="s">
        <v>362</v>
      </c>
      <c r="F64" s="7"/>
      <c r="G64" s="114" t="s">
        <v>191</v>
      </c>
      <c r="H64" s="7" t="s">
        <v>354</v>
      </c>
      <c r="I64" s="64"/>
      <c r="J64" s="119">
        <v>26</v>
      </c>
      <c r="K64" s="138">
        <v>2465868</v>
      </c>
      <c r="L64" s="139">
        <v>2557954.36</v>
      </c>
      <c r="M64" s="140">
        <f t="shared" ref="M64:M92" si="23">+L64*10%</f>
        <v>255795.43599999999</v>
      </c>
      <c r="N64" s="140">
        <f t="shared" ref="N64:N92" si="24">+M64*19%</f>
        <v>48601.132839999998</v>
      </c>
      <c r="O64" s="140">
        <f t="shared" ref="O64:O92" si="25">+L64+M64+N64</f>
        <v>2862350.9288400002</v>
      </c>
      <c r="P64" s="140">
        <f t="shared" ref="P64:P121" si="26">+ROUND(((O64/30)*J64),0)</f>
        <v>2480704</v>
      </c>
      <c r="Q64" s="142" t="s">
        <v>822</v>
      </c>
      <c r="R64" s="143">
        <f>1126667+86667+86667</f>
        <v>1300001</v>
      </c>
      <c r="S64" s="150">
        <v>1256668</v>
      </c>
      <c r="T64" s="111" t="s">
        <v>851</v>
      </c>
      <c r="U64" s="140">
        <f t="shared" ref="U64:U122" si="27">+ROUND(((L64/30)*J64),0)</f>
        <v>2216894</v>
      </c>
      <c r="V64" s="188">
        <f t="shared" si="4"/>
        <v>221689.40000000002</v>
      </c>
      <c r="W64" s="188">
        <f t="shared" si="5"/>
        <v>42120.986000000004</v>
      </c>
      <c r="X64" s="188">
        <f t="shared" si="6"/>
        <v>2480704</v>
      </c>
      <c r="Y64" s="188">
        <f t="shared" si="7"/>
        <v>0</v>
      </c>
    </row>
    <row r="65" spans="1:25" ht="15.6" customHeight="1">
      <c r="A65" s="115" t="s">
        <v>767</v>
      </c>
      <c r="B65" s="119">
        <v>1050971458</v>
      </c>
      <c r="C65" s="7" t="s">
        <v>380</v>
      </c>
      <c r="D65" s="7" t="s">
        <v>166</v>
      </c>
      <c r="E65" s="7" t="s">
        <v>47</v>
      </c>
      <c r="F65" s="7" t="s">
        <v>57</v>
      </c>
      <c r="G65" s="114" t="s">
        <v>191</v>
      </c>
      <c r="H65" s="7" t="s">
        <v>14</v>
      </c>
      <c r="I65" s="64"/>
      <c r="J65" s="119">
        <v>30</v>
      </c>
      <c r="K65" s="138">
        <v>2465868</v>
      </c>
      <c r="L65" s="139">
        <v>2557954.36</v>
      </c>
      <c r="M65" s="140">
        <f t="shared" si="23"/>
        <v>255795.43599999999</v>
      </c>
      <c r="N65" s="140">
        <f t="shared" si="24"/>
        <v>48601.132839999998</v>
      </c>
      <c r="O65" s="140">
        <f t="shared" si="25"/>
        <v>2862350.9288400002</v>
      </c>
      <c r="P65" s="140">
        <f t="shared" si="26"/>
        <v>2862351</v>
      </c>
      <c r="Q65" s="189"/>
      <c r="R65" s="144">
        <v>1300000</v>
      </c>
      <c r="S65" s="145">
        <v>1358000</v>
      </c>
      <c r="T65" s="111" t="s">
        <v>841</v>
      </c>
      <c r="U65" s="140">
        <f t="shared" si="27"/>
        <v>2557954</v>
      </c>
      <c r="V65" s="188">
        <f t="shared" si="4"/>
        <v>255795.40000000002</v>
      </c>
      <c r="W65" s="188">
        <f t="shared" si="5"/>
        <v>48601.126000000004</v>
      </c>
      <c r="X65" s="188">
        <f t="shared" si="6"/>
        <v>2862351</v>
      </c>
      <c r="Y65" s="188">
        <f t="shared" si="7"/>
        <v>0</v>
      </c>
    </row>
    <row r="66" spans="1:25" ht="15.6" customHeight="1">
      <c r="A66" s="115" t="s">
        <v>767</v>
      </c>
      <c r="B66" s="119">
        <v>1126122552</v>
      </c>
      <c r="C66" s="7" t="s">
        <v>342</v>
      </c>
      <c r="D66" s="7" t="s">
        <v>343</v>
      </c>
      <c r="E66" s="7" t="s">
        <v>17</v>
      </c>
      <c r="F66" s="7" t="s">
        <v>345</v>
      </c>
      <c r="G66" s="114" t="s">
        <v>13</v>
      </c>
      <c r="H66" s="7" t="s">
        <v>14</v>
      </c>
      <c r="I66" s="64"/>
      <c r="J66" s="119">
        <v>30</v>
      </c>
      <c r="K66" s="138">
        <v>2465868</v>
      </c>
      <c r="L66" s="139">
        <v>2557954.36</v>
      </c>
      <c r="M66" s="140">
        <f t="shared" si="23"/>
        <v>255795.43599999999</v>
      </c>
      <c r="N66" s="140">
        <f t="shared" si="24"/>
        <v>48601.132839999998</v>
      </c>
      <c r="O66" s="140">
        <f t="shared" si="25"/>
        <v>2862350.9288400002</v>
      </c>
      <c r="P66" s="140">
        <f t="shared" si="26"/>
        <v>2862351</v>
      </c>
      <c r="Q66" s="141"/>
      <c r="R66" s="144">
        <v>1390000</v>
      </c>
      <c r="S66" s="150">
        <v>1440800</v>
      </c>
      <c r="T66" s="111" t="s">
        <v>841</v>
      </c>
      <c r="U66" s="140">
        <f t="shared" si="27"/>
        <v>2557954</v>
      </c>
      <c r="V66" s="188">
        <f t="shared" ref="V66:V124" si="28">+U66*10%</f>
        <v>255795.40000000002</v>
      </c>
      <c r="W66" s="188">
        <f t="shared" ref="W66:W124" si="29">+V66*19%</f>
        <v>48601.126000000004</v>
      </c>
      <c r="X66" s="188">
        <f t="shared" ref="X66:X124" si="30">+ROUND((U66+V66+W66),0)</f>
        <v>2862351</v>
      </c>
      <c r="Y66" s="188">
        <f t="shared" ref="Y66:Y124" si="31">+X66-P66</f>
        <v>0</v>
      </c>
    </row>
    <row r="67" spans="1:25" ht="15.6" customHeight="1">
      <c r="A67" s="115" t="s">
        <v>767</v>
      </c>
      <c r="B67" s="119">
        <v>1148150676</v>
      </c>
      <c r="C67" s="7" t="s">
        <v>76</v>
      </c>
      <c r="D67" s="7" t="s">
        <v>77</v>
      </c>
      <c r="E67" s="7" t="s">
        <v>78</v>
      </c>
      <c r="F67" s="7" t="s">
        <v>79</v>
      </c>
      <c r="G67" s="114" t="s">
        <v>13</v>
      </c>
      <c r="H67" s="7" t="s">
        <v>14</v>
      </c>
      <c r="I67" s="64"/>
      <c r="J67" s="119">
        <v>30</v>
      </c>
      <c r="K67" s="138">
        <v>2465868</v>
      </c>
      <c r="L67" s="139">
        <v>2557954.36</v>
      </c>
      <c r="M67" s="140">
        <f t="shared" si="23"/>
        <v>255795.43599999999</v>
      </c>
      <c r="N67" s="140">
        <f t="shared" si="24"/>
        <v>48601.132839999998</v>
      </c>
      <c r="O67" s="140">
        <f t="shared" si="25"/>
        <v>2862350.9288400002</v>
      </c>
      <c r="P67" s="140">
        <f t="shared" si="26"/>
        <v>2862351</v>
      </c>
      <c r="Q67" s="141"/>
      <c r="R67" s="144">
        <v>1390000</v>
      </c>
      <c r="S67" s="150">
        <v>1440800</v>
      </c>
      <c r="T67" s="111" t="s">
        <v>805</v>
      </c>
      <c r="U67" s="140">
        <f t="shared" si="27"/>
        <v>2557954</v>
      </c>
      <c r="V67" s="188">
        <f t="shared" si="28"/>
        <v>255795.40000000002</v>
      </c>
      <c r="W67" s="188">
        <f t="shared" si="29"/>
        <v>48601.126000000004</v>
      </c>
      <c r="X67" s="188">
        <f t="shared" si="30"/>
        <v>2862351</v>
      </c>
      <c r="Y67" s="188">
        <f t="shared" si="31"/>
        <v>0</v>
      </c>
    </row>
    <row r="68" spans="1:25" ht="15.6" customHeight="1">
      <c r="A68" s="115" t="s">
        <v>768</v>
      </c>
      <c r="B68" s="119">
        <v>53048357</v>
      </c>
      <c r="C68" s="7" t="s">
        <v>166</v>
      </c>
      <c r="D68" s="7" t="s">
        <v>212</v>
      </c>
      <c r="E68" s="7" t="s">
        <v>47</v>
      </c>
      <c r="F68" s="7" t="s">
        <v>213</v>
      </c>
      <c r="G68" s="114" t="s">
        <v>191</v>
      </c>
      <c r="H68" s="7" t="s">
        <v>14</v>
      </c>
      <c r="I68" s="64"/>
      <c r="J68" s="119">
        <v>30</v>
      </c>
      <c r="K68" s="138">
        <v>2465868</v>
      </c>
      <c r="L68" s="139">
        <v>2557954.36</v>
      </c>
      <c r="M68" s="140">
        <f t="shared" si="23"/>
        <v>255795.43599999999</v>
      </c>
      <c r="N68" s="140">
        <f t="shared" si="24"/>
        <v>48601.132839999998</v>
      </c>
      <c r="O68" s="140">
        <f t="shared" si="25"/>
        <v>2862350.9288400002</v>
      </c>
      <c r="P68" s="140">
        <f t="shared" si="26"/>
        <v>2862351</v>
      </c>
      <c r="Q68" s="141"/>
      <c r="R68" s="144">
        <v>1300000</v>
      </c>
      <c r="S68" s="150">
        <v>1358000</v>
      </c>
      <c r="T68" s="111" t="s">
        <v>841</v>
      </c>
      <c r="U68" s="140">
        <f t="shared" si="27"/>
        <v>2557954</v>
      </c>
      <c r="V68" s="188">
        <f t="shared" si="28"/>
        <v>255795.40000000002</v>
      </c>
      <c r="W68" s="188">
        <f t="shared" si="29"/>
        <v>48601.126000000004</v>
      </c>
      <c r="X68" s="188">
        <f t="shared" si="30"/>
        <v>2862351</v>
      </c>
      <c r="Y68" s="188">
        <f t="shared" si="31"/>
        <v>0</v>
      </c>
    </row>
    <row r="69" spans="1:25" ht="15.6" customHeight="1">
      <c r="A69" s="115" t="s">
        <v>768</v>
      </c>
      <c r="B69" s="119">
        <v>79510190</v>
      </c>
      <c r="C69" s="7" t="s">
        <v>129</v>
      </c>
      <c r="D69" s="7" t="s">
        <v>130</v>
      </c>
      <c r="E69" s="7" t="s">
        <v>18</v>
      </c>
      <c r="F69" s="7" t="s">
        <v>131</v>
      </c>
      <c r="G69" s="114" t="s">
        <v>89</v>
      </c>
      <c r="H69" s="7" t="s">
        <v>14</v>
      </c>
      <c r="I69" s="64"/>
      <c r="J69" s="119">
        <v>30</v>
      </c>
      <c r="K69" s="138">
        <v>2465868</v>
      </c>
      <c r="L69" s="139">
        <v>2557954.36</v>
      </c>
      <c r="M69" s="140">
        <f t="shared" si="23"/>
        <v>255795.43599999999</v>
      </c>
      <c r="N69" s="140">
        <f t="shared" si="24"/>
        <v>48601.132839999998</v>
      </c>
      <c r="O69" s="140">
        <f t="shared" si="25"/>
        <v>2862350.9288400002</v>
      </c>
      <c r="P69" s="140">
        <f t="shared" si="26"/>
        <v>2862351</v>
      </c>
      <c r="Q69" s="141"/>
      <c r="R69" s="150">
        <v>1356000</v>
      </c>
      <c r="S69" s="150">
        <v>1409520</v>
      </c>
      <c r="T69" s="111" t="s">
        <v>841</v>
      </c>
      <c r="U69" s="140">
        <f t="shared" si="27"/>
        <v>2557954</v>
      </c>
      <c r="V69" s="188">
        <f t="shared" si="28"/>
        <v>255795.40000000002</v>
      </c>
      <c r="W69" s="188">
        <f t="shared" si="29"/>
        <v>48601.126000000004</v>
      </c>
      <c r="X69" s="188">
        <f t="shared" si="30"/>
        <v>2862351</v>
      </c>
      <c r="Y69" s="188">
        <f t="shared" si="31"/>
        <v>0</v>
      </c>
    </row>
    <row r="70" spans="1:25" ht="15.6" customHeight="1">
      <c r="A70" s="115" t="s">
        <v>768</v>
      </c>
      <c r="B70" s="119">
        <v>79667853</v>
      </c>
      <c r="C70" s="7" t="s">
        <v>301</v>
      </c>
      <c r="D70" s="7" t="s">
        <v>59</v>
      </c>
      <c r="E70" s="7" t="s">
        <v>302</v>
      </c>
      <c r="F70" s="7" t="s">
        <v>303</v>
      </c>
      <c r="G70" s="114" t="s">
        <v>13</v>
      </c>
      <c r="H70" s="7" t="s">
        <v>14</v>
      </c>
      <c r="I70" s="64"/>
      <c r="J70" s="119">
        <v>30</v>
      </c>
      <c r="K70" s="138">
        <v>2465868</v>
      </c>
      <c r="L70" s="139">
        <v>2557954.36</v>
      </c>
      <c r="M70" s="140">
        <f t="shared" si="23"/>
        <v>255795.43599999999</v>
      </c>
      <c r="N70" s="140">
        <f t="shared" si="24"/>
        <v>48601.132839999998</v>
      </c>
      <c r="O70" s="140">
        <f t="shared" si="25"/>
        <v>2862350.9288400002</v>
      </c>
      <c r="P70" s="140">
        <f t="shared" si="26"/>
        <v>2862351</v>
      </c>
      <c r="Q70" s="141"/>
      <c r="R70" s="144">
        <v>1390000</v>
      </c>
      <c r="S70" s="150">
        <v>1440800</v>
      </c>
      <c r="T70" s="111" t="s">
        <v>841</v>
      </c>
      <c r="U70" s="140">
        <f t="shared" si="27"/>
        <v>2557954</v>
      </c>
      <c r="V70" s="188">
        <f t="shared" si="28"/>
        <v>255795.40000000002</v>
      </c>
      <c r="W70" s="188">
        <f t="shared" si="29"/>
        <v>48601.126000000004</v>
      </c>
      <c r="X70" s="188">
        <f t="shared" si="30"/>
        <v>2862351</v>
      </c>
      <c r="Y70" s="188">
        <f t="shared" si="31"/>
        <v>0</v>
      </c>
    </row>
    <row r="71" spans="1:25" ht="15.6" customHeight="1">
      <c r="A71" s="115" t="s">
        <v>768</v>
      </c>
      <c r="B71" s="119">
        <v>1023017321</v>
      </c>
      <c r="C71" s="7" t="s">
        <v>328</v>
      </c>
      <c r="D71" s="7" t="s">
        <v>287</v>
      </c>
      <c r="E71" s="7" t="s">
        <v>329</v>
      </c>
      <c r="F71" s="7" t="s">
        <v>222</v>
      </c>
      <c r="G71" s="114" t="s">
        <v>191</v>
      </c>
      <c r="H71" s="7" t="s">
        <v>14</v>
      </c>
      <c r="I71" s="64"/>
      <c r="J71" s="119">
        <v>30</v>
      </c>
      <c r="K71" s="138">
        <v>2465868</v>
      </c>
      <c r="L71" s="139">
        <v>2557954.36</v>
      </c>
      <c r="M71" s="140">
        <f t="shared" si="23"/>
        <v>255795.43599999999</v>
      </c>
      <c r="N71" s="140">
        <f t="shared" si="24"/>
        <v>48601.132839999998</v>
      </c>
      <c r="O71" s="140">
        <f t="shared" si="25"/>
        <v>2862350.9288400002</v>
      </c>
      <c r="P71" s="140">
        <f t="shared" si="26"/>
        <v>2862351</v>
      </c>
      <c r="Q71" s="141"/>
      <c r="R71" s="144">
        <v>1300000</v>
      </c>
      <c r="S71" s="150">
        <v>1358000</v>
      </c>
      <c r="T71" s="111" t="s">
        <v>841</v>
      </c>
      <c r="U71" s="140">
        <f t="shared" si="27"/>
        <v>2557954</v>
      </c>
      <c r="V71" s="188">
        <f t="shared" si="28"/>
        <v>255795.40000000002</v>
      </c>
      <c r="W71" s="188">
        <f t="shared" si="29"/>
        <v>48601.126000000004</v>
      </c>
      <c r="X71" s="188">
        <f t="shared" si="30"/>
        <v>2862351</v>
      </c>
      <c r="Y71" s="188">
        <f t="shared" si="31"/>
        <v>0</v>
      </c>
    </row>
    <row r="72" spans="1:25" ht="15.6" customHeight="1">
      <c r="A72" s="115" t="s">
        <v>768</v>
      </c>
      <c r="B72" s="119">
        <v>1049945027</v>
      </c>
      <c r="C72" s="7" t="s">
        <v>383</v>
      </c>
      <c r="D72" s="7" t="s">
        <v>384</v>
      </c>
      <c r="E72" s="7" t="s">
        <v>385</v>
      </c>
      <c r="F72" s="7" t="s">
        <v>226</v>
      </c>
      <c r="G72" s="114" t="s">
        <v>13</v>
      </c>
      <c r="H72" s="7" t="s">
        <v>14</v>
      </c>
      <c r="I72" s="64"/>
      <c r="J72" s="119">
        <v>30</v>
      </c>
      <c r="K72" s="138">
        <v>2465868</v>
      </c>
      <c r="L72" s="139">
        <v>2557954.36</v>
      </c>
      <c r="M72" s="140">
        <f t="shared" si="23"/>
        <v>255795.43599999999</v>
      </c>
      <c r="N72" s="140">
        <f t="shared" si="24"/>
        <v>48601.132839999998</v>
      </c>
      <c r="O72" s="140">
        <f t="shared" si="25"/>
        <v>2862350.9288400002</v>
      </c>
      <c r="P72" s="140">
        <f t="shared" si="26"/>
        <v>2862351</v>
      </c>
      <c r="Q72" s="141"/>
      <c r="R72" s="144">
        <v>1390000</v>
      </c>
      <c r="S72" s="150">
        <v>1319308</v>
      </c>
      <c r="T72" s="111" t="s">
        <v>851</v>
      </c>
      <c r="U72" s="140">
        <f t="shared" si="27"/>
        <v>2557954</v>
      </c>
      <c r="V72" s="188">
        <f t="shared" si="28"/>
        <v>255795.40000000002</v>
      </c>
      <c r="W72" s="188">
        <f t="shared" si="29"/>
        <v>48601.126000000004</v>
      </c>
      <c r="X72" s="188">
        <f t="shared" si="30"/>
        <v>2862351</v>
      </c>
      <c r="Y72" s="188">
        <f t="shared" si="31"/>
        <v>0</v>
      </c>
    </row>
    <row r="73" spans="1:25" ht="15.6" customHeight="1">
      <c r="A73" s="115" t="s">
        <v>769</v>
      </c>
      <c r="B73" s="119">
        <v>26228331</v>
      </c>
      <c r="C73" s="7" t="s">
        <v>248</v>
      </c>
      <c r="D73" s="7" t="s">
        <v>186</v>
      </c>
      <c r="E73" s="7" t="s">
        <v>249</v>
      </c>
      <c r="F73" s="7"/>
      <c r="G73" s="114" t="s">
        <v>191</v>
      </c>
      <c r="H73" s="7" t="s">
        <v>14</v>
      </c>
      <c r="I73" s="64"/>
      <c r="J73" s="119">
        <v>30</v>
      </c>
      <c r="K73" s="138">
        <v>2465868</v>
      </c>
      <c r="L73" s="139">
        <v>2557954.36</v>
      </c>
      <c r="M73" s="140">
        <f>+L73*10%</f>
        <v>255795.43599999999</v>
      </c>
      <c r="N73" s="140">
        <f>+M73*19%</f>
        <v>48601.132839999998</v>
      </c>
      <c r="O73" s="140">
        <f>+L73+M73+N73</f>
        <v>2862350.9288400002</v>
      </c>
      <c r="P73" s="140">
        <f>+ROUND(((O73/30)*J73),0)</f>
        <v>2862351</v>
      </c>
      <c r="Q73" s="141"/>
      <c r="R73" s="144">
        <v>1300000</v>
      </c>
      <c r="S73" s="144">
        <v>1358000</v>
      </c>
      <c r="T73" s="115" t="s">
        <v>852</v>
      </c>
      <c r="U73" s="140">
        <f>+ROUND(((L73/30)*J73),0)</f>
        <v>2557954</v>
      </c>
      <c r="V73" s="188">
        <f t="shared" si="28"/>
        <v>255795.40000000002</v>
      </c>
      <c r="W73" s="188">
        <f t="shared" si="29"/>
        <v>48601.126000000004</v>
      </c>
      <c r="X73" s="188">
        <f t="shared" si="30"/>
        <v>2862351</v>
      </c>
      <c r="Y73" s="188">
        <f t="shared" si="31"/>
        <v>0</v>
      </c>
    </row>
    <row r="74" spans="1:25" ht="15.6" customHeight="1">
      <c r="A74" s="115" t="s">
        <v>769</v>
      </c>
      <c r="B74" s="119">
        <v>1023898933</v>
      </c>
      <c r="C74" s="7" t="s">
        <v>320</v>
      </c>
      <c r="D74" s="7" t="s">
        <v>321</v>
      </c>
      <c r="E74" s="7" t="s">
        <v>60</v>
      </c>
      <c r="F74" s="7" t="s">
        <v>322</v>
      </c>
      <c r="G74" s="114" t="s">
        <v>191</v>
      </c>
      <c r="H74" s="7" t="s">
        <v>14</v>
      </c>
      <c r="I74" s="64"/>
      <c r="J74" s="119">
        <v>23</v>
      </c>
      <c r="K74" s="138">
        <v>2465868</v>
      </c>
      <c r="L74" s="139">
        <v>2557954.36</v>
      </c>
      <c r="M74" s="140">
        <f t="shared" si="23"/>
        <v>255795.43599999999</v>
      </c>
      <c r="N74" s="140">
        <f t="shared" si="24"/>
        <v>48601.132839999998</v>
      </c>
      <c r="O74" s="140">
        <f t="shared" si="25"/>
        <v>2862350.9288400002</v>
      </c>
      <c r="P74" s="140">
        <f t="shared" si="26"/>
        <v>2194469</v>
      </c>
      <c r="Q74" s="142" t="s">
        <v>830</v>
      </c>
      <c r="R74" s="143">
        <f>996667+303334</f>
        <v>1300001</v>
      </c>
      <c r="S74" s="142">
        <v>1041133</v>
      </c>
      <c r="T74" s="111" t="s">
        <v>841</v>
      </c>
      <c r="U74" s="140">
        <f t="shared" si="27"/>
        <v>1961098</v>
      </c>
      <c r="V74" s="188">
        <f t="shared" si="28"/>
        <v>196109.80000000002</v>
      </c>
      <c r="W74" s="188">
        <f t="shared" si="29"/>
        <v>37260.862000000001</v>
      </c>
      <c r="X74" s="188">
        <f t="shared" si="30"/>
        <v>2194469</v>
      </c>
      <c r="Y74" s="188">
        <f t="shared" si="31"/>
        <v>0</v>
      </c>
    </row>
    <row r="75" spans="1:25" ht="15.6" customHeight="1">
      <c r="A75" s="115" t="s">
        <v>770</v>
      </c>
      <c r="B75" s="119">
        <v>21119479</v>
      </c>
      <c r="C75" s="7" t="s">
        <v>240</v>
      </c>
      <c r="D75" s="7" t="s">
        <v>241</v>
      </c>
      <c r="E75" s="7" t="s">
        <v>53</v>
      </c>
      <c r="F75" s="7" t="s">
        <v>47</v>
      </c>
      <c r="G75" s="114" t="s">
        <v>191</v>
      </c>
      <c r="H75" s="7" t="s">
        <v>14</v>
      </c>
      <c r="I75" s="64"/>
      <c r="J75" s="119">
        <v>30</v>
      </c>
      <c r="K75" s="138">
        <v>2465868</v>
      </c>
      <c r="L75" s="139">
        <v>2557954.36</v>
      </c>
      <c r="M75" s="140">
        <f>+L75*10%</f>
        <v>255795.43599999999</v>
      </c>
      <c r="N75" s="140">
        <f>+M75*19%</f>
        <v>48601.132839999998</v>
      </c>
      <c r="O75" s="140">
        <f>+L75+M75+N75</f>
        <v>2862350.9288400002</v>
      </c>
      <c r="P75" s="140">
        <f>+ROUND(((O75/30)*J75),0)</f>
        <v>2862351</v>
      </c>
      <c r="Q75" s="141"/>
      <c r="R75" s="150">
        <v>1300000</v>
      </c>
      <c r="S75" s="150">
        <v>1358000</v>
      </c>
      <c r="T75" s="111" t="s">
        <v>841</v>
      </c>
      <c r="U75" s="140">
        <f>+ROUND(((L75/30)*J75),0)</f>
        <v>2557954</v>
      </c>
      <c r="V75" s="188">
        <f t="shared" si="28"/>
        <v>255795.40000000002</v>
      </c>
      <c r="W75" s="188">
        <f t="shared" si="29"/>
        <v>48601.126000000004</v>
      </c>
      <c r="X75" s="188">
        <f t="shared" si="30"/>
        <v>2862351</v>
      </c>
      <c r="Y75" s="188">
        <f t="shared" si="31"/>
        <v>0</v>
      </c>
    </row>
    <row r="76" spans="1:25" ht="15.6" customHeight="1">
      <c r="A76" s="115" t="s">
        <v>770</v>
      </c>
      <c r="B76" s="119">
        <v>24176443</v>
      </c>
      <c r="C76" s="7" t="s">
        <v>90</v>
      </c>
      <c r="D76" s="7" t="s">
        <v>91</v>
      </c>
      <c r="E76" s="7" t="s">
        <v>92</v>
      </c>
      <c r="F76" s="7" t="s">
        <v>93</v>
      </c>
      <c r="G76" s="114" t="s">
        <v>191</v>
      </c>
      <c r="H76" s="7" t="s">
        <v>14</v>
      </c>
      <c r="I76" s="64"/>
      <c r="J76" s="119">
        <v>30</v>
      </c>
      <c r="K76" s="138">
        <v>2465868</v>
      </c>
      <c r="L76" s="139">
        <v>2557954.36</v>
      </c>
      <c r="M76" s="140">
        <f t="shared" si="23"/>
        <v>255795.43599999999</v>
      </c>
      <c r="N76" s="140">
        <f t="shared" si="24"/>
        <v>48601.132839999998</v>
      </c>
      <c r="O76" s="140">
        <f t="shared" si="25"/>
        <v>2862350.9288400002</v>
      </c>
      <c r="P76" s="140">
        <f t="shared" si="26"/>
        <v>2862351</v>
      </c>
      <c r="Q76" s="141"/>
      <c r="R76" s="144">
        <v>1300000</v>
      </c>
      <c r="S76" s="150">
        <v>1358000</v>
      </c>
      <c r="T76" s="111" t="s">
        <v>841</v>
      </c>
      <c r="U76" s="140">
        <f t="shared" si="27"/>
        <v>2557954</v>
      </c>
      <c r="V76" s="188">
        <f t="shared" si="28"/>
        <v>255795.40000000002</v>
      </c>
      <c r="W76" s="188">
        <f t="shared" si="29"/>
        <v>48601.126000000004</v>
      </c>
      <c r="X76" s="188">
        <f t="shared" si="30"/>
        <v>2862351</v>
      </c>
      <c r="Y76" s="188">
        <f t="shared" si="31"/>
        <v>0</v>
      </c>
    </row>
    <row r="77" spans="1:25" ht="15.6" customHeight="1">
      <c r="A77" s="115" t="s">
        <v>770</v>
      </c>
      <c r="B77" s="119">
        <v>36466591</v>
      </c>
      <c r="C77" s="7" t="s">
        <v>266</v>
      </c>
      <c r="D77" s="7" t="s">
        <v>267</v>
      </c>
      <c r="E77" s="7" t="s">
        <v>268</v>
      </c>
      <c r="F77" s="7" t="s">
        <v>269</v>
      </c>
      <c r="G77" s="114" t="s">
        <v>191</v>
      </c>
      <c r="H77" s="7" t="s">
        <v>14</v>
      </c>
      <c r="I77" s="64"/>
      <c r="J77" s="119">
        <v>30</v>
      </c>
      <c r="K77" s="138">
        <v>2465868</v>
      </c>
      <c r="L77" s="139">
        <v>2557954.36</v>
      </c>
      <c r="M77" s="140">
        <f t="shared" si="23"/>
        <v>255795.43599999999</v>
      </c>
      <c r="N77" s="140">
        <f t="shared" si="24"/>
        <v>48601.132839999998</v>
      </c>
      <c r="O77" s="140">
        <f t="shared" si="25"/>
        <v>2862350.9288400002</v>
      </c>
      <c r="P77" s="140">
        <f t="shared" si="26"/>
        <v>2862351</v>
      </c>
      <c r="Q77" s="141"/>
      <c r="R77" s="144">
        <v>1300000</v>
      </c>
      <c r="S77" s="142">
        <v>1358000</v>
      </c>
      <c r="T77" s="111" t="s">
        <v>841</v>
      </c>
      <c r="U77" s="140">
        <f t="shared" si="27"/>
        <v>2557954</v>
      </c>
      <c r="V77" s="188">
        <f t="shared" si="28"/>
        <v>255795.40000000002</v>
      </c>
      <c r="W77" s="188">
        <f t="shared" si="29"/>
        <v>48601.126000000004</v>
      </c>
      <c r="X77" s="188">
        <f t="shared" si="30"/>
        <v>2862351</v>
      </c>
      <c r="Y77" s="188">
        <f t="shared" si="31"/>
        <v>0</v>
      </c>
    </row>
    <row r="78" spans="1:25" ht="15.6" customHeight="1">
      <c r="A78" s="115" t="s">
        <v>770</v>
      </c>
      <c r="B78" s="7">
        <v>52317516</v>
      </c>
      <c r="C78" s="7" t="s">
        <v>73</v>
      </c>
      <c r="D78" s="7" t="s">
        <v>375</v>
      </c>
      <c r="E78" s="7" t="s">
        <v>376</v>
      </c>
      <c r="F78" s="7"/>
      <c r="G78" s="114" t="s">
        <v>191</v>
      </c>
      <c r="H78" s="7" t="s">
        <v>354</v>
      </c>
      <c r="I78" s="64"/>
      <c r="J78" s="94">
        <v>2</v>
      </c>
      <c r="K78" s="138">
        <v>2465868</v>
      </c>
      <c r="L78" s="139">
        <v>2557954.36</v>
      </c>
      <c r="M78" s="140">
        <f t="shared" si="23"/>
        <v>255795.43599999999</v>
      </c>
      <c r="N78" s="140">
        <f t="shared" si="24"/>
        <v>48601.132839999998</v>
      </c>
      <c r="O78" s="140">
        <f t="shared" si="25"/>
        <v>2862350.9288400002</v>
      </c>
      <c r="P78" s="140">
        <f t="shared" si="26"/>
        <v>190823</v>
      </c>
      <c r="Q78" s="148" t="s">
        <v>840</v>
      </c>
      <c r="R78" s="144">
        <v>1300000</v>
      </c>
      <c r="S78" s="152"/>
      <c r="T78" s="8" t="s">
        <v>803</v>
      </c>
      <c r="U78" s="140">
        <f t="shared" si="27"/>
        <v>170530</v>
      </c>
      <c r="V78" s="188">
        <f t="shared" si="28"/>
        <v>17053</v>
      </c>
      <c r="W78" s="188">
        <f t="shared" si="29"/>
        <v>3240.07</v>
      </c>
      <c r="X78" s="188">
        <f t="shared" si="30"/>
        <v>190823</v>
      </c>
      <c r="Y78" s="188">
        <f t="shared" si="31"/>
        <v>0</v>
      </c>
    </row>
    <row r="79" spans="1:25" ht="15.6" customHeight="1">
      <c r="A79" s="131" t="s">
        <v>770</v>
      </c>
      <c r="B79" s="120">
        <v>55155416</v>
      </c>
      <c r="C79" s="7" t="s">
        <v>234</v>
      </c>
      <c r="D79" s="7" t="s">
        <v>46</v>
      </c>
      <c r="E79" s="7" t="s">
        <v>169</v>
      </c>
      <c r="F79" s="7" t="s">
        <v>183</v>
      </c>
      <c r="G79" s="114" t="s">
        <v>210</v>
      </c>
      <c r="H79" s="7" t="s">
        <v>14</v>
      </c>
      <c r="I79" s="64"/>
      <c r="J79" s="119">
        <v>22</v>
      </c>
      <c r="K79" s="138">
        <v>2465868</v>
      </c>
      <c r="L79" s="139">
        <v>2557954.36</v>
      </c>
      <c r="M79" s="140">
        <f t="shared" si="23"/>
        <v>255795.43599999999</v>
      </c>
      <c r="N79" s="140">
        <f t="shared" si="24"/>
        <v>48601.132839999998</v>
      </c>
      <c r="O79" s="140">
        <f t="shared" si="25"/>
        <v>2862350.9288400002</v>
      </c>
      <c r="P79" s="140">
        <f t="shared" si="26"/>
        <v>2099057</v>
      </c>
      <c r="Q79" s="142" t="s">
        <v>828</v>
      </c>
      <c r="R79" s="147">
        <f>90400+1265600</f>
        <v>1356000</v>
      </c>
      <c r="S79" s="142">
        <v>1315552</v>
      </c>
      <c r="T79" s="111" t="s">
        <v>841</v>
      </c>
      <c r="U79" s="140">
        <f t="shared" si="27"/>
        <v>1875833</v>
      </c>
      <c r="V79" s="188">
        <f t="shared" si="28"/>
        <v>187583.30000000002</v>
      </c>
      <c r="W79" s="188">
        <f t="shared" si="29"/>
        <v>35640.827000000005</v>
      </c>
      <c r="X79" s="188">
        <f t="shared" si="30"/>
        <v>2099057</v>
      </c>
      <c r="Y79" s="188">
        <f t="shared" si="31"/>
        <v>0</v>
      </c>
    </row>
    <row r="80" spans="1:25" ht="15.6" customHeight="1">
      <c r="A80" s="115" t="s">
        <v>770</v>
      </c>
      <c r="B80" s="119">
        <v>79398677</v>
      </c>
      <c r="C80" s="7" t="s">
        <v>312</v>
      </c>
      <c r="D80" s="7" t="s">
        <v>313</v>
      </c>
      <c r="E80" s="7" t="s">
        <v>314</v>
      </c>
      <c r="F80" s="7"/>
      <c r="G80" s="114" t="s">
        <v>13</v>
      </c>
      <c r="H80" s="7" t="s">
        <v>14</v>
      </c>
      <c r="I80" s="64"/>
      <c r="J80" s="119">
        <v>30</v>
      </c>
      <c r="K80" s="138">
        <v>2465868</v>
      </c>
      <c r="L80" s="139">
        <v>2557954.36</v>
      </c>
      <c r="M80" s="140">
        <f t="shared" si="23"/>
        <v>255795.43599999999</v>
      </c>
      <c r="N80" s="140">
        <f t="shared" si="24"/>
        <v>48601.132839999998</v>
      </c>
      <c r="O80" s="140">
        <f t="shared" si="25"/>
        <v>2862350.9288400002</v>
      </c>
      <c r="P80" s="140">
        <f t="shared" si="26"/>
        <v>2862351</v>
      </c>
      <c r="Q80" s="141"/>
      <c r="R80" s="144">
        <v>1390000</v>
      </c>
      <c r="S80" s="150">
        <v>1440800</v>
      </c>
      <c r="T80" s="111" t="s">
        <v>844</v>
      </c>
      <c r="U80" s="140">
        <f t="shared" si="27"/>
        <v>2557954</v>
      </c>
      <c r="V80" s="188">
        <f t="shared" si="28"/>
        <v>255795.40000000002</v>
      </c>
      <c r="W80" s="188">
        <f t="shared" si="29"/>
        <v>48601.126000000004</v>
      </c>
      <c r="X80" s="188">
        <f t="shared" si="30"/>
        <v>2862351</v>
      </c>
      <c r="Y80" s="188">
        <f t="shared" si="31"/>
        <v>0</v>
      </c>
    </row>
    <row r="81" spans="1:25" ht="15.6" customHeight="1">
      <c r="A81" s="115" t="s">
        <v>770</v>
      </c>
      <c r="B81" s="119">
        <v>1023879634</v>
      </c>
      <c r="C81" s="7" t="s">
        <v>19</v>
      </c>
      <c r="D81" s="7" t="s">
        <v>418</v>
      </c>
      <c r="E81" s="7" t="s">
        <v>419</v>
      </c>
      <c r="F81" s="7" t="s">
        <v>187</v>
      </c>
      <c r="G81" s="114" t="s">
        <v>13</v>
      </c>
      <c r="H81" s="7" t="s">
        <v>420</v>
      </c>
      <c r="I81" s="64"/>
      <c r="J81" s="119">
        <v>30</v>
      </c>
      <c r="K81" s="138">
        <v>2465868</v>
      </c>
      <c r="L81" s="139">
        <v>2557954.36</v>
      </c>
      <c r="M81" s="140">
        <f t="shared" si="23"/>
        <v>255795.43599999999</v>
      </c>
      <c r="N81" s="140">
        <f t="shared" si="24"/>
        <v>48601.132839999998</v>
      </c>
      <c r="O81" s="140">
        <f t="shared" si="25"/>
        <v>2862350.9288400002</v>
      </c>
      <c r="P81" s="140">
        <f t="shared" si="26"/>
        <v>2862351</v>
      </c>
      <c r="Q81" s="141"/>
      <c r="R81" s="144">
        <v>1390000</v>
      </c>
      <c r="S81" s="150">
        <v>1440800</v>
      </c>
      <c r="T81" s="111" t="s">
        <v>841</v>
      </c>
      <c r="U81" s="140">
        <f t="shared" si="27"/>
        <v>2557954</v>
      </c>
      <c r="V81" s="188">
        <f t="shared" si="28"/>
        <v>255795.40000000002</v>
      </c>
      <c r="W81" s="188">
        <f t="shared" si="29"/>
        <v>48601.126000000004</v>
      </c>
      <c r="X81" s="188">
        <f t="shared" si="30"/>
        <v>2862351</v>
      </c>
      <c r="Y81" s="188">
        <f t="shared" si="31"/>
        <v>0</v>
      </c>
    </row>
    <row r="82" spans="1:25" ht="15.6" customHeight="1">
      <c r="A82" s="115" t="s">
        <v>770</v>
      </c>
      <c r="B82" s="119">
        <v>1024532469</v>
      </c>
      <c r="C82" s="7" t="s">
        <v>266</v>
      </c>
      <c r="D82" s="7" t="s">
        <v>367</v>
      </c>
      <c r="E82" s="7" t="s">
        <v>71</v>
      </c>
      <c r="F82" s="7" t="s">
        <v>368</v>
      </c>
      <c r="G82" s="114" t="s">
        <v>191</v>
      </c>
      <c r="H82" s="7" t="s">
        <v>354</v>
      </c>
      <c r="I82" s="64"/>
      <c r="J82" s="119">
        <v>30</v>
      </c>
      <c r="K82" s="138">
        <v>2465868</v>
      </c>
      <c r="L82" s="139">
        <v>2557954.36</v>
      </c>
      <c r="M82" s="140">
        <f t="shared" si="23"/>
        <v>255795.43599999999</v>
      </c>
      <c r="N82" s="140">
        <f t="shared" si="24"/>
        <v>48601.132839999998</v>
      </c>
      <c r="O82" s="140">
        <f t="shared" si="25"/>
        <v>2862350.9288400002</v>
      </c>
      <c r="P82" s="140">
        <f t="shared" si="26"/>
        <v>2862351</v>
      </c>
      <c r="Q82" s="141"/>
      <c r="R82" s="144">
        <v>1300000</v>
      </c>
      <c r="S82" s="142">
        <v>1358000</v>
      </c>
      <c r="T82" s="111" t="s">
        <v>844</v>
      </c>
      <c r="U82" s="140">
        <f t="shared" si="27"/>
        <v>2557954</v>
      </c>
      <c r="V82" s="188">
        <f t="shared" si="28"/>
        <v>255795.40000000002</v>
      </c>
      <c r="W82" s="188">
        <f t="shared" si="29"/>
        <v>48601.126000000004</v>
      </c>
      <c r="X82" s="188">
        <f t="shared" si="30"/>
        <v>2862351</v>
      </c>
      <c r="Y82" s="188">
        <f t="shared" si="31"/>
        <v>0</v>
      </c>
    </row>
    <row r="83" spans="1:25" ht="15.6" customHeight="1">
      <c r="A83" s="115" t="s">
        <v>770</v>
      </c>
      <c r="B83" s="119">
        <v>1024550991</v>
      </c>
      <c r="C83" s="7" t="s">
        <v>15</v>
      </c>
      <c r="D83" s="7" t="s">
        <v>19</v>
      </c>
      <c r="E83" s="7" t="s">
        <v>20</v>
      </c>
      <c r="F83" s="7" t="s">
        <v>21</v>
      </c>
      <c r="G83" s="114" t="s">
        <v>191</v>
      </c>
      <c r="H83" s="7" t="s">
        <v>14</v>
      </c>
      <c r="I83" s="64"/>
      <c r="J83" s="119">
        <v>30</v>
      </c>
      <c r="K83" s="138">
        <v>2465868</v>
      </c>
      <c r="L83" s="139">
        <v>2557954.36</v>
      </c>
      <c r="M83" s="140">
        <f t="shared" si="23"/>
        <v>255795.43599999999</v>
      </c>
      <c r="N83" s="140">
        <f t="shared" si="24"/>
        <v>48601.132839999998</v>
      </c>
      <c r="O83" s="140">
        <f t="shared" si="25"/>
        <v>2862350.9288400002</v>
      </c>
      <c r="P83" s="140">
        <f t="shared" si="26"/>
        <v>2862351</v>
      </c>
      <c r="Q83" s="141"/>
      <c r="R83" s="150">
        <v>1300000</v>
      </c>
      <c r="S83" s="150">
        <v>1358000</v>
      </c>
      <c r="T83" s="111" t="s">
        <v>852</v>
      </c>
      <c r="U83" s="140">
        <f t="shared" si="27"/>
        <v>2557954</v>
      </c>
      <c r="V83" s="188">
        <f t="shared" si="28"/>
        <v>255795.40000000002</v>
      </c>
      <c r="W83" s="188">
        <f t="shared" si="29"/>
        <v>48601.126000000004</v>
      </c>
      <c r="X83" s="188">
        <f t="shared" si="30"/>
        <v>2862351</v>
      </c>
      <c r="Y83" s="188">
        <f t="shared" si="31"/>
        <v>0</v>
      </c>
    </row>
    <row r="84" spans="1:25" ht="15.6" customHeight="1">
      <c r="A84" s="115" t="s">
        <v>770</v>
      </c>
      <c r="B84" s="119">
        <v>1051737185</v>
      </c>
      <c r="C84" s="7" t="s">
        <v>67</v>
      </c>
      <c r="D84" s="7" t="s">
        <v>227</v>
      </c>
      <c r="E84" s="7" t="s">
        <v>406</v>
      </c>
      <c r="F84" s="7"/>
      <c r="G84" s="114" t="s">
        <v>191</v>
      </c>
      <c r="H84" s="7" t="s">
        <v>393</v>
      </c>
      <c r="I84" s="64"/>
      <c r="J84" s="119">
        <v>30</v>
      </c>
      <c r="K84" s="138">
        <v>2465868</v>
      </c>
      <c r="L84" s="139">
        <v>2557954.36</v>
      </c>
      <c r="M84" s="140">
        <f t="shared" si="23"/>
        <v>255795.43599999999</v>
      </c>
      <c r="N84" s="140">
        <f t="shared" si="24"/>
        <v>48601.132839999998</v>
      </c>
      <c r="O84" s="140">
        <f t="shared" si="25"/>
        <v>2862350.9288400002</v>
      </c>
      <c r="P84" s="140">
        <f t="shared" si="26"/>
        <v>2862351</v>
      </c>
      <c r="Q84" s="141"/>
      <c r="R84" s="150">
        <v>1300000</v>
      </c>
      <c r="S84" s="142">
        <v>1358000</v>
      </c>
      <c r="T84" s="111" t="s">
        <v>841</v>
      </c>
      <c r="U84" s="140">
        <f t="shared" si="27"/>
        <v>2557954</v>
      </c>
      <c r="V84" s="188">
        <f t="shared" si="28"/>
        <v>255795.40000000002</v>
      </c>
      <c r="W84" s="188">
        <f t="shared" si="29"/>
        <v>48601.126000000004</v>
      </c>
      <c r="X84" s="188">
        <f t="shared" si="30"/>
        <v>2862351</v>
      </c>
      <c r="Y84" s="188">
        <f t="shared" si="31"/>
        <v>0</v>
      </c>
    </row>
    <row r="85" spans="1:25" ht="15.6" customHeight="1">
      <c r="A85" s="115" t="s">
        <v>770</v>
      </c>
      <c r="B85" s="119">
        <v>1052957561</v>
      </c>
      <c r="C85" s="7" t="s">
        <v>238</v>
      </c>
      <c r="D85" s="7" t="s">
        <v>239</v>
      </c>
      <c r="E85" s="7" t="s">
        <v>47</v>
      </c>
      <c r="F85" s="7" t="s">
        <v>57</v>
      </c>
      <c r="G85" s="114" t="s">
        <v>191</v>
      </c>
      <c r="H85" s="7" t="s">
        <v>14</v>
      </c>
      <c r="I85" s="64"/>
      <c r="J85" s="119">
        <v>30</v>
      </c>
      <c r="K85" s="138">
        <v>2465868</v>
      </c>
      <c r="L85" s="139">
        <v>2557954.36</v>
      </c>
      <c r="M85" s="140">
        <f>+L85*10%</f>
        <v>255795.43599999999</v>
      </c>
      <c r="N85" s="140">
        <f>+M85*19%</f>
        <v>48601.132839999998</v>
      </c>
      <c r="O85" s="140">
        <f>+L85+M85+N85</f>
        <v>2862350.9288400002</v>
      </c>
      <c r="P85" s="140">
        <f>+ROUND(((O85/30)*J85),0)</f>
        <v>2862351</v>
      </c>
      <c r="Q85" s="142" t="s">
        <v>837</v>
      </c>
      <c r="R85" s="144">
        <v>1300000</v>
      </c>
      <c r="S85" s="142">
        <v>1358000</v>
      </c>
      <c r="T85" s="111" t="s">
        <v>841</v>
      </c>
      <c r="U85" s="140">
        <f>+ROUND(((L85/30)*J85),0)</f>
        <v>2557954</v>
      </c>
      <c r="V85" s="188">
        <f>+U85*10%</f>
        <v>255795.40000000002</v>
      </c>
      <c r="W85" s="188">
        <f>+V85*19%</f>
        <v>48601.126000000004</v>
      </c>
      <c r="X85" s="188">
        <f>+ROUND((U85+V85+W85),0)</f>
        <v>2862351</v>
      </c>
      <c r="Y85" s="188">
        <f>+X85-P85</f>
        <v>0</v>
      </c>
    </row>
    <row r="86" spans="1:25" ht="15.6" customHeight="1">
      <c r="A86" s="131" t="s">
        <v>770</v>
      </c>
      <c r="B86" s="120">
        <v>1033717516</v>
      </c>
      <c r="C86" s="7" t="s">
        <v>399</v>
      </c>
      <c r="D86" s="7" t="s">
        <v>400</v>
      </c>
      <c r="E86" s="7" t="s">
        <v>401</v>
      </c>
      <c r="F86" s="7" t="s">
        <v>223</v>
      </c>
      <c r="G86" s="114" t="s">
        <v>191</v>
      </c>
      <c r="H86" s="7" t="s">
        <v>393</v>
      </c>
      <c r="I86" s="64"/>
      <c r="J86" s="119">
        <v>8</v>
      </c>
      <c r="K86" s="138">
        <v>2465868</v>
      </c>
      <c r="L86" s="139">
        <v>2557954.36</v>
      </c>
      <c r="M86" s="140">
        <f t="shared" si="23"/>
        <v>255795.43599999999</v>
      </c>
      <c r="N86" s="140">
        <f t="shared" si="24"/>
        <v>48601.132839999998</v>
      </c>
      <c r="O86" s="140">
        <f t="shared" si="25"/>
        <v>2862350.9288400002</v>
      </c>
      <c r="P86" s="140">
        <f t="shared" si="26"/>
        <v>763294</v>
      </c>
      <c r="Q86" s="142" t="s">
        <v>836</v>
      </c>
      <c r="R86" s="144">
        <v>1300000</v>
      </c>
      <c r="S86" s="142">
        <v>1358000</v>
      </c>
      <c r="T86" s="111" t="s">
        <v>851</v>
      </c>
      <c r="U86" s="140">
        <f t="shared" ref="U86" si="32">+ROUND(((L86/30)*J86),0)</f>
        <v>682121</v>
      </c>
      <c r="V86" s="188">
        <f t="shared" ref="V86" si="33">+U86*10%</f>
        <v>68212.100000000006</v>
      </c>
      <c r="W86" s="188">
        <f t="shared" ref="W86" si="34">+V86*19%</f>
        <v>12960.299000000001</v>
      </c>
      <c r="X86" s="188">
        <f t="shared" ref="X86" si="35">+ROUND((U86+V86+W86),0)</f>
        <v>763293</v>
      </c>
      <c r="Y86" s="188">
        <f t="shared" ref="Y86" si="36">+X86-P86</f>
        <v>-1</v>
      </c>
    </row>
    <row r="87" spans="1:25" ht="15.6" customHeight="1">
      <c r="A87" s="115" t="s">
        <v>770</v>
      </c>
      <c r="B87" s="119">
        <v>1073710462</v>
      </c>
      <c r="C87" s="7" t="s">
        <v>221</v>
      </c>
      <c r="D87" s="7" t="s">
        <v>94</v>
      </c>
      <c r="E87" s="7" t="s">
        <v>222</v>
      </c>
      <c r="F87" s="7" t="s">
        <v>223</v>
      </c>
      <c r="G87" s="114" t="s">
        <v>191</v>
      </c>
      <c r="H87" s="7" t="s">
        <v>14</v>
      </c>
      <c r="I87" s="64"/>
      <c r="J87" s="119">
        <v>30</v>
      </c>
      <c r="K87" s="138">
        <v>2465868</v>
      </c>
      <c r="L87" s="139">
        <v>2557954.36</v>
      </c>
      <c r="M87" s="140">
        <f t="shared" si="23"/>
        <v>255795.43599999999</v>
      </c>
      <c r="N87" s="140">
        <f t="shared" si="24"/>
        <v>48601.132839999998</v>
      </c>
      <c r="O87" s="140">
        <f t="shared" si="25"/>
        <v>2862350.9288400002</v>
      </c>
      <c r="P87" s="140">
        <f t="shared" si="26"/>
        <v>2862351</v>
      </c>
      <c r="Q87" s="141"/>
      <c r="R87" s="150">
        <v>1300000</v>
      </c>
      <c r="S87" s="142">
        <v>1358000</v>
      </c>
      <c r="T87" s="111" t="s">
        <v>841</v>
      </c>
      <c r="U87" s="140">
        <f t="shared" si="27"/>
        <v>2557954</v>
      </c>
      <c r="V87" s="188">
        <f t="shared" si="28"/>
        <v>255795.40000000002</v>
      </c>
      <c r="W87" s="188">
        <f t="shared" si="29"/>
        <v>48601.126000000004</v>
      </c>
      <c r="X87" s="188">
        <f t="shared" si="30"/>
        <v>2862351</v>
      </c>
      <c r="Y87" s="188">
        <f t="shared" si="31"/>
        <v>0</v>
      </c>
    </row>
    <row r="88" spans="1:25" ht="15.6" customHeight="1">
      <c r="A88" s="115" t="s">
        <v>771</v>
      </c>
      <c r="B88" s="119">
        <v>20485336</v>
      </c>
      <c r="C88" s="7" t="s">
        <v>83</v>
      </c>
      <c r="D88" s="7" t="s">
        <v>84</v>
      </c>
      <c r="E88" s="7" t="s">
        <v>85</v>
      </c>
      <c r="F88" s="7" t="s">
        <v>86</v>
      </c>
      <c r="G88" s="114" t="s">
        <v>191</v>
      </c>
      <c r="H88" s="7" t="s">
        <v>14</v>
      </c>
      <c r="I88" s="64"/>
      <c r="J88" s="119">
        <v>30</v>
      </c>
      <c r="K88" s="138">
        <v>2465868</v>
      </c>
      <c r="L88" s="139">
        <v>2557954.36</v>
      </c>
      <c r="M88" s="140">
        <f t="shared" si="23"/>
        <v>255795.43599999999</v>
      </c>
      <c r="N88" s="140">
        <f t="shared" si="24"/>
        <v>48601.132839999998</v>
      </c>
      <c r="O88" s="140">
        <f t="shared" si="25"/>
        <v>2862350.9288400002</v>
      </c>
      <c r="P88" s="140">
        <f t="shared" si="26"/>
        <v>2862351</v>
      </c>
      <c r="Q88" s="141"/>
      <c r="R88" s="150">
        <v>1300000</v>
      </c>
      <c r="S88" s="150">
        <v>1358000</v>
      </c>
      <c r="T88" s="111" t="s">
        <v>841</v>
      </c>
      <c r="U88" s="140">
        <f t="shared" si="27"/>
        <v>2557954</v>
      </c>
      <c r="V88" s="188">
        <f t="shared" si="28"/>
        <v>255795.40000000002</v>
      </c>
      <c r="W88" s="188">
        <f t="shared" si="29"/>
        <v>48601.126000000004</v>
      </c>
      <c r="X88" s="188">
        <f t="shared" si="30"/>
        <v>2862351</v>
      </c>
      <c r="Y88" s="188">
        <f t="shared" si="31"/>
        <v>0</v>
      </c>
    </row>
    <row r="89" spans="1:25" ht="15.6" customHeight="1">
      <c r="A89" s="115" t="s">
        <v>771</v>
      </c>
      <c r="B89" s="132">
        <v>41932330</v>
      </c>
      <c r="C89" s="99" t="s">
        <v>262</v>
      </c>
      <c r="D89" s="99" t="s">
        <v>366</v>
      </c>
      <c r="E89" s="99" t="s">
        <v>160</v>
      </c>
      <c r="F89" s="99"/>
      <c r="G89" s="117" t="s">
        <v>191</v>
      </c>
      <c r="H89" s="99" t="s">
        <v>354</v>
      </c>
      <c r="I89" s="64"/>
      <c r="J89" s="119">
        <v>30</v>
      </c>
      <c r="K89" s="138">
        <v>2465868</v>
      </c>
      <c r="L89" s="139">
        <v>2557954.36</v>
      </c>
      <c r="M89" s="140">
        <f t="shared" si="23"/>
        <v>255795.43599999999</v>
      </c>
      <c r="N89" s="140">
        <f t="shared" si="24"/>
        <v>48601.132839999998</v>
      </c>
      <c r="O89" s="140">
        <f t="shared" si="25"/>
        <v>2862350.9288400002</v>
      </c>
      <c r="P89" s="140">
        <f t="shared" si="26"/>
        <v>2862351</v>
      </c>
      <c r="Q89" s="141"/>
      <c r="R89" s="150">
        <v>1300000</v>
      </c>
      <c r="S89" s="150">
        <v>1358000</v>
      </c>
      <c r="T89" s="111" t="s">
        <v>858</v>
      </c>
      <c r="U89" s="140">
        <f t="shared" si="27"/>
        <v>2557954</v>
      </c>
      <c r="V89" s="188">
        <f t="shared" si="28"/>
        <v>255795.40000000002</v>
      </c>
      <c r="W89" s="188">
        <f t="shared" si="29"/>
        <v>48601.126000000004</v>
      </c>
      <c r="X89" s="188">
        <f t="shared" si="30"/>
        <v>2862351</v>
      </c>
      <c r="Y89" s="188">
        <f t="shared" si="31"/>
        <v>0</v>
      </c>
    </row>
    <row r="90" spans="1:25" ht="15.6" customHeight="1">
      <c r="A90" s="115" t="s">
        <v>771</v>
      </c>
      <c r="B90" s="119">
        <v>52164364</v>
      </c>
      <c r="C90" s="7" t="s">
        <v>41</v>
      </c>
      <c r="D90" s="7" t="s">
        <v>46</v>
      </c>
      <c r="E90" s="7" t="s">
        <v>47</v>
      </c>
      <c r="F90" s="7" t="s">
        <v>48</v>
      </c>
      <c r="G90" s="114" t="s">
        <v>191</v>
      </c>
      <c r="H90" s="7" t="s">
        <v>14</v>
      </c>
      <c r="I90" s="64"/>
      <c r="J90" s="119">
        <v>28</v>
      </c>
      <c r="K90" s="138">
        <v>2465868</v>
      </c>
      <c r="L90" s="139">
        <v>2557954.36</v>
      </c>
      <c r="M90" s="140">
        <f t="shared" si="23"/>
        <v>255795.43599999999</v>
      </c>
      <c r="N90" s="140">
        <f t="shared" si="24"/>
        <v>48601.132839999998</v>
      </c>
      <c r="O90" s="140">
        <f t="shared" si="25"/>
        <v>2862350.9288400002</v>
      </c>
      <c r="P90" s="140">
        <f t="shared" si="26"/>
        <v>2671528</v>
      </c>
      <c r="Q90" s="142" t="s">
        <v>859</v>
      </c>
      <c r="R90" s="149">
        <f>1213334+86667</f>
        <v>1300001</v>
      </c>
      <c r="S90" s="150">
        <v>1347200</v>
      </c>
      <c r="T90" s="111" t="s">
        <v>841</v>
      </c>
      <c r="U90" s="140">
        <f t="shared" si="27"/>
        <v>2387424</v>
      </c>
      <c r="V90" s="188">
        <f t="shared" si="28"/>
        <v>238742.40000000002</v>
      </c>
      <c r="W90" s="188">
        <f t="shared" si="29"/>
        <v>45361.056000000004</v>
      </c>
      <c r="X90" s="188">
        <f t="shared" si="30"/>
        <v>2671527</v>
      </c>
      <c r="Y90" s="188">
        <f t="shared" si="31"/>
        <v>-1</v>
      </c>
    </row>
    <row r="91" spans="1:25" ht="15.6" customHeight="1">
      <c r="A91" s="115" t="s">
        <v>771</v>
      </c>
      <c r="B91" s="119">
        <v>52286905</v>
      </c>
      <c r="C91" s="7" t="s">
        <v>334</v>
      </c>
      <c r="D91" s="7" t="s">
        <v>335</v>
      </c>
      <c r="E91" s="7" t="s">
        <v>156</v>
      </c>
      <c r="F91" s="7" t="s">
        <v>146</v>
      </c>
      <c r="G91" s="114" t="s">
        <v>191</v>
      </c>
      <c r="H91" s="7" t="s">
        <v>14</v>
      </c>
      <c r="I91" s="64"/>
      <c r="J91" s="119">
        <v>30</v>
      </c>
      <c r="K91" s="138">
        <v>2465868</v>
      </c>
      <c r="L91" s="139">
        <v>2557954.36</v>
      </c>
      <c r="M91" s="140">
        <f t="shared" si="23"/>
        <v>255795.43599999999</v>
      </c>
      <c r="N91" s="140">
        <f t="shared" si="24"/>
        <v>48601.132839999998</v>
      </c>
      <c r="O91" s="140">
        <f t="shared" si="25"/>
        <v>2862350.9288400002</v>
      </c>
      <c r="P91" s="140">
        <f t="shared" si="26"/>
        <v>2862351</v>
      </c>
      <c r="Q91" s="141"/>
      <c r="R91" s="150">
        <v>1300000</v>
      </c>
      <c r="S91" s="150">
        <v>1358000</v>
      </c>
      <c r="T91" s="111" t="s">
        <v>841</v>
      </c>
      <c r="U91" s="140">
        <f t="shared" si="27"/>
        <v>2557954</v>
      </c>
      <c r="V91" s="188">
        <f t="shared" si="28"/>
        <v>255795.40000000002</v>
      </c>
      <c r="W91" s="188">
        <f t="shared" si="29"/>
        <v>48601.126000000004</v>
      </c>
      <c r="X91" s="188">
        <f t="shared" si="30"/>
        <v>2862351</v>
      </c>
      <c r="Y91" s="188">
        <f t="shared" si="31"/>
        <v>0</v>
      </c>
    </row>
    <row r="92" spans="1:25" ht="15.6" customHeight="1">
      <c r="A92" s="115" t="s">
        <v>771</v>
      </c>
      <c r="B92" s="132">
        <v>52295952</v>
      </c>
      <c r="C92" s="99" t="s">
        <v>73</v>
      </c>
      <c r="D92" s="99" t="s">
        <v>94</v>
      </c>
      <c r="E92" s="99" t="s">
        <v>33</v>
      </c>
      <c r="F92" s="99"/>
      <c r="G92" s="117" t="s">
        <v>191</v>
      </c>
      <c r="H92" s="99" t="s">
        <v>393</v>
      </c>
      <c r="I92" s="64"/>
      <c r="J92" s="119">
        <v>30</v>
      </c>
      <c r="K92" s="138">
        <v>2465868</v>
      </c>
      <c r="L92" s="139">
        <v>2557954.36</v>
      </c>
      <c r="M92" s="140">
        <f t="shared" si="23"/>
        <v>255795.43599999999</v>
      </c>
      <c r="N92" s="140">
        <f t="shared" si="24"/>
        <v>48601.132839999998</v>
      </c>
      <c r="O92" s="140">
        <f t="shared" si="25"/>
        <v>2862350.9288400002</v>
      </c>
      <c r="P92" s="140">
        <f t="shared" si="26"/>
        <v>2862351</v>
      </c>
      <c r="Q92" s="141"/>
      <c r="R92" s="150">
        <v>1300000</v>
      </c>
      <c r="S92" s="150">
        <v>1358000</v>
      </c>
      <c r="T92" s="111" t="s">
        <v>851</v>
      </c>
      <c r="U92" s="140">
        <f t="shared" si="27"/>
        <v>2557954</v>
      </c>
      <c r="V92" s="188">
        <f t="shared" si="28"/>
        <v>255795.40000000002</v>
      </c>
      <c r="W92" s="188">
        <f t="shared" si="29"/>
        <v>48601.126000000004</v>
      </c>
      <c r="X92" s="188">
        <f t="shared" si="30"/>
        <v>2862351</v>
      </c>
      <c r="Y92" s="188">
        <f t="shared" si="31"/>
        <v>0</v>
      </c>
    </row>
    <row r="93" spans="1:25" ht="15.6" customHeight="1">
      <c r="A93" s="115" t="s">
        <v>771</v>
      </c>
      <c r="B93" s="119">
        <v>1019087772</v>
      </c>
      <c r="C93" s="7" t="s">
        <v>790</v>
      </c>
      <c r="D93" s="7" t="s">
        <v>181</v>
      </c>
      <c r="E93" s="7" t="s">
        <v>261</v>
      </c>
      <c r="F93" s="7" t="s">
        <v>11</v>
      </c>
      <c r="G93" s="114" t="s">
        <v>13</v>
      </c>
      <c r="H93" s="64">
        <v>45468</v>
      </c>
      <c r="I93" s="64"/>
      <c r="J93" s="119">
        <v>30</v>
      </c>
      <c r="K93" s="138">
        <v>2465868</v>
      </c>
      <c r="L93" s="139">
        <v>2557954.36</v>
      </c>
      <c r="M93" s="140">
        <f>+L93*10%</f>
        <v>255795.43599999999</v>
      </c>
      <c r="N93" s="140">
        <f>+M93*19%</f>
        <v>48601.132839999998</v>
      </c>
      <c r="O93" s="140">
        <f>+L93+M93+N93</f>
        <v>2862350.9288400002</v>
      </c>
      <c r="P93" s="140">
        <f>+ROUND(((O93/30)*J93),0)</f>
        <v>2862351</v>
      </c>
      <c r="Q93" s="141"/>
      <c r="R93" s="142">
        <v>1390000</v>
      </c>
      <c r="S93" s="142">
        <v>1440800</v>
      </c>
      <c r="T93" s="111" t="s">
        <v>851</v>
      </c>
      <c r="U93" s="140">
        <f>+ROUND(((L93/30)*J93),0)</f>
        <v>2557954</v>
      </c>
      <c r="V93" s="188">
        <f t="shared" si="28"/>
        <v>255795.40000000002</v>
      </c>
      <c r="W93" s="188">
        <f t="shared" si="29"/>
        <v>48601.126000000004</v>
      </c>
      <c r="X93" s="188">
        <f t="shared" si="30"/>
        <v>2862351</v>
      </c>
      <c r="Y93" s="188">
        <f t="shared" si="31"/>
        <v>0</v>
      </c>
    </row>
    <row r="94" spans="1:25" ht="15.6" customHeight="1">
      <c r="A94" s="115" t="s">
        <v>771</v>
      </c>
      <c r="B94" s="119">
        <v>1016105801</v>
      </c>
      <c r="C94" s="7" t="s">
        <v>214</v>
      </c>
      <c r="D94" s="7" t="s">
        <v>220</v>
      </c>
      <c r="E94" s="7" t="s">
        <v>105</v>
      </c>
      <c r="F94" s="7" t="s">
        <v>106</v>
      </c>
      <c r="G94" s="114" t="s">
        <v>191</v>
      </c>
      <c r="H94" s="7" t="s">
        <v>14</v>
      </c>
      <c r="I94" s="64"/>
      <c r="J94" s="119">
        <v>30</v>
      </c>
      <c r="K94" s="138">
        <v>2465868</v>
      </c>
      <c r="L94" s="139">
        <v>2557954.36</v>
      </c>
      <c r="M94" s="140">
        <f t="shared" ref="M94:M124" si="37">+L94*10%</f>
        <v>255795.43599999999</v>
      </c>
      <c r="N94" s="140">
        <f t="shared" ref="N94:N124" si="38">+M94*19%</f>
        <v>48601.132839999998</v>
      </c>
      <c r="O94" s="140">
        <f t="shared" ref="O94:O124" si="39">+L94+M94+N94</f>
        <v>2862350.9288400002</v>
      </c>
      <c r="P94" s="140">
        <f t="shared" si="26"/>
        <v>2862351</v>
      </c>
      <c r="Q94" s="141"/>
      <c r="R94" s="150">
        <v>1300000</v>
      </c>
      <c r="S94" s="150">
        <v>1358000</v>
      </c>
      <c r="T94" s="111" t="s">
        <v>841</v>
      </c>
      <c r="U94" s="140">
        <f t="shared" si="27"/>
        <v>2557954</v>
      </c>
      <c r="V94" s="188">
        <f t="shared" si="28"/>
        <v>255795.40000000002</v>
      </c>
      <c r="W94" s="188">
        <f t="shared" si="29"/>
        <v>48601.126000000004</v>
      </c>
      <c r="X94" s="188">
        <f t="shared" si="30"/>
        <v>2862351</v>
      </c>
      <c r="Y94" s="188">
        <f t="shared" si="31"/>
        <v>0</v>
      </c>
    </row>
    <row r="95" spans="1:25" ht="15.6" customHeight="1">
      <c r="A95" s="115" t="s">
        <v>771</v>
      </c>
      <c r="B95" s="119">
        <v>1030668192</v>
      </c>
      <c r="C95" s="7" t="s">
        <v>197</v>
      </c>
      <c r="D95" s="7" t="s">
        <v>198</v>
      </c>
      <c r="E95" s="7" t="s">
        <v>60</v>
      </c>
      <c r="F95" s="7" t="s">
        <v>110</v>
      </c>
      <c r="G95" s="114" t="s">
        <v>191</v>
      </c>
      <c r="H95" s="7" t="s">
        <v>14</v>
      </c>
      <c r="I95" s="64"/>
      <c r="J95" s="119">
        <v>30</v>
      </c>
      <c r="K95" s="138">
        <v>2465868</v>
      </c>
      <c r="L95" s="139">
        <v>2557954.36</v>
      </c>
      <c r="M95" s="140">
        <f t="shared" si="37"/>
        <v>255795.43599999999</v>
      </c>
      <c r="N95" s="140">
        <f t="shared" si="38"/>
        <v>48601.132839999998</v>
      </c>
      <c r="O95" s="140">
        <f t="shared" si="39"/>
        <v>2862350.9288400002</v>
      </c>
      <c r="P95" s="140">
        <f t="shared" si="26"/>
        <v>2862351</v>
      </c>
      <c r="Q95" s="141"/>
      <c r="R95" s="150">
        <v>1300000</v>
      </c>
      <c r="S95" s="150">
        <v>1358000</v>
      </c>
      <c r="T95" s="111" t="s">
        <v>841</v>
      </c>
      <c r="U95" s="140">
        <f t="shared" si="27"/>
        <v>2557954</v>
      </c>
      <c r="V95" s="188">
        <f t="shared" si="28"/>
        <v>255795.40000000002</v>
      </c>
      <c r="W95" s="188">
        <f t="shared" si="29"/>
        <v>48601.126000000004</v>
      </c>
      <c r="X95" s="188">
        <f t="shared" si="30"/>
        <v>2862351</v>
      </c>
      <c r="Y95" s="188">
        <f t="shared" si="31"/>
        <v>0</v>
      </c>
    </row>
    <row r="96" spans="1:25" ht="15.6" customHeight="1">
      <c r="A96" s="115" t="s">
        <v>771</v>
      </c>
      <c r="B96" s="132">
        <v>1118854040</v>
      </c>
      <c r="C96" s="99" t="s">
        <v>357</v>
      </c>
      <c r="D96" s="99" t="s">
        <v>358</v>
      </c>
      <c r="E96" s="99" t="s">
        <v>359</v>
      </c>
      <c r="F96" s="99" t="s">
        <v>222</v>
      </c>
      <c r="G96" s="117" t="s">
        <v>191</v>
      </c>
      <c r="H96" s="99" t="s">
        <v>354</v>
      </c>
      <c r="I96" s="64"/>
      <c r="J96" s="119">
        <v>30</v>
      </c>
      <c r="K96" s="138">
        <v>2465868</v>
      </c>
      <c r="L96" s="139">
        <v>2557954.36</v>
      </c>
      <c r="M96" s="140">
        <f t="shared" si="37"/>
        <v>255795.43599999999</v>
      </c>
      <c r="N96" s="140">
        <f t="shared" si="38"/>
        <v>48601.132839999998</v>
      </c>
      <c r="O96" s="140">
        <f t="shared" si="39"/>
        <v>2862350.9288400002</v>
      </c>
      <c r="P96" s="140">
        <f t="shared" si="26"/>
        <v>2862351</v>
      </c>
      <c r="Q96" s="141"/>
      <c r="R96" s="150">
        <v>1300000</v>
      </c>
      <c r="S96" s="150">
        <v>1358000</v>
      </c>
      <c r="T96" s="111" t="s">
        <v>852</v>
      </c>
      <c r="U96" s="140">
        <f t="shared" si="27"/>
        <v>2557954</v>
      </c>
      <c r="V96" s="188">
        <f t="shared" si="28"/>
        <v>255795.40000000002</v>
      </c>
      <c r="W96" s="188">
        <f t="shared" si="29"/>
        <v>48601.126000000004</v>
      </c>
      <c r="X96" s="188">
        <f t="shared" si="30"/>
        <v>2862351</v>
      </c>
      <c r="Y96" s="188">
        <f t="shared" si="31"/>
        <v>0</v>
      </c>
    </row>
    <row r="97" spans="1:25" ht="15.6" customHeight="1">
      <c r="A97" s="115" t="s">
        <v>771</v>
      </c>
      <c r="B97" s="119">
        <v>1030668833</v>
      </c>
      <c r="C97" s="99" t="s">
        <v>792</v>
      </c>
      <c r="D97" s="7" t="s">
        <v>802</v>
      </c>
      <c r="E97" s="7" t="s">
        <v>43</v>
      </c>
      <c r="F97" s="7" t="s">
        <v>793</v>
      </c>
      <c r="G97" s="114" t="s">
        <v>13</v>
      </c>
      <c r="H97" s="100">
        <v>45461</v>
      </c>
      <c r="I97" s="64"/>
      <c r="J97" s="119">
        <v>30</v>
      </c>
      <c r="K97" s="138">
        <v>2465868</v>
      </c>
      <c r="L97" s="139">
        <v>2557954.36</v>
      </c>
      <c r="M97" s="140">
        <f t="shared" si="37"/>
        <v>255795.43599999999</v>
      </c>
      <c r="N97" s="140">
        <f t="shared" si="38"/>
        <v>48601.132839999998</v>
      </c>
      <c r="O97" s="140">
        <f t="shared" si="39"/>
        <v>2862350.9288400002</v>
      </c>
      <c r="P97" s="140">
        <f t="shared" si="26"/>
        <v>2862351</v>
      </c>
      <c r="Q97" s="141"/>
      <c r="R97" s="150">
        <v>1390000</v>
      </c>
      <c r="S97" s="150">
        <v>1440800</v>
      </c>
      <c r="T97" s="111" t="s">
        <v>857</v>
      </c>
      <c r="U97" s="140">
        <f t="shared" si="27"/>
        <v>2557954</v>
      </c>
      <c r="V97" s="188">
        <f t="shared" si="28"/>
        <v>255795.40000000002</v>
      </c>
      <c r="W97" s="188">
        <f t="shared" si="29"/>
        <v>48601.126000000004</v>
      </c>
      <c r="X97" s="188">
        <f t="shared" si="30"/>
        <v>2862351</v>
      </c>
      <c r="Y97" s="188">
        <f t="shared" si="31"/>
        <v>0</v>
      </c>
    </row>
    <row r="98" spans="1:25" ht="15.6" customHeight="1">
      <c r="A98" s="115" t="s">
        <v>772</v>
      </c>
      <c r="B98" s="119">
        <v>10944616</v>
      </c>
      <c r="C98" s="7" t="s">
        <v>184</v>
      </c>
      <c r="D98" s="7" t="s">
        <v>274</v>
      </c>
      <c r="E98" s="7" t="s">
        <v>302</v>
      </c>
      <c r="F98" s="7" t="s">
        <v>323</v>
      </c>
      <c r="G98" s="114" t="s">
        <v>13</v>
      </c>
      <c r="H98" s="64">
        <v>45392</v>
      </c>
      <c r="I98" s="64"/>
      <c r="J98" s="119">
        <v>30</v>
      </c>
      <c r="K98" s="138">
        <v>2465868</v>
      </c>
      <c r="L98" s="139">
        <v>2557954.36</v>
      </c>
      <c r="M98" s="140">
        <f t="shared" si="37"/>
        <v>255795.43599999999</v>
      </c>
      <c r="N98" s="140">
        <f t="shared" si="38"/>
        <v>48601.132839999998</v>
      </c>
      <c r="O98" s="140">
        <f t="shared" si="39"/>
        <v>2862350.9288400002</v>
      </c>
      <c r="P98" s="140">
        <f t="shared" si="26"/>
        <v>2862351</v>
      </c>
      <c r="Q98" s="141"/>
      <c r="R98" s="144">
        <v>1390000</v>
      </c>
      <c r="S98" s="150">
        <v>1440800</v>
      </c>
      <c r="T98" s="111" t="s">
        <v>851</v>
      </c>
      <c r="U98" s="140">
        <f t="shared" si="27"/>
        <v>2557954</v>
      </c>
      <c r="V98" s="188">
        <f t="shared" si="28"/>
        <v>255795.40000000002</v>
      </c>
      <c r="W98" s="188">
        <f t="shared" si="29"/>
        <v>48601.126000000004</v>
      </c>
      <c r="X98" s="188">
        <f t="shared" si="30"/>
        <v>2862351</v>
      </c>
      <c r="Y98" s="188">
        <f t="shared" si="31"/>
        <v>0</v>
      </c>
    </row>
    <row r="99" spans="1:25" ht="15.6" customHeight="1">
      <c r="A99" s="115" t="s">
        <v>772</v>
      </c>
      <c r="B99" s="119">
        <v>39802794</v>
      </c>
      <c r="C99" s="7" t="s">
        <v>348</v>
      </c>
      <c r="D99" s="7" t="s">
        <v>349</v>
      </c>
      <c r="E99" s="7" t="s">
        <v>350</v>
      </c>
      <c r="F99" s="7" t="s">
        <v>351</v>
      </c>
      <c r="G99" s="114" t="s">
        <v>191</v>
      </c>
      <c r="H99" s="7" t="s">
        <v>14</v>
      </c>
      <c r="I99" s="64"/>
      <c r="J99" s="119">
        <v>3</v>
      </c>
      <c r="K99" s="138">
        <v>2465868</v>
      </c>
      <c r="L99" s="139">
        <v>2557954.36</v>
      </c>
      <c r="M99" s="140">
        <f>+L99*10%</f>
        <v>255795.43599999999</v>
      </c>
      <c r="N99" s="140">
        <f>+M99*19%</f>
        <v>48601.132839999998</v>
      </c>
      <c r="O99" s="140">
        <f>+L99+M99+N99</f>
        <v>2862350.9288400002</v>
      </c>
      <c r="P99" s="140">
        <f>+ROUND(((O99/30)*J99),0)</f>
        <v>286235</v>
      </c>
      <c r="Q99" s="142" t="s">
        <v>890</v>
      </c>
      <c r="R99" s="152">
        <f>130000+86667+563334+563334</f>
        <v>1343335</v>
      </c>
      <c r="S99" s="150">
        <v>1252069</v>
      </c>
      <c r="T99" s="111" t="s">
        <v>841</v>
      </c>
      <c r="U99" s="140">
        <f>+ROUND(((L99/30)*J99),0)</f>
        <v>255795</v>
      </c>
      <c r="V99" s="188">
        <f t="shared" si="28"/>
        <v>25579.5</v>
      </c>
      <c r="W99" s="188">
        <f t="shared" si="29"/>
        <v>4860.1050000000005</v>
      </c>
      <c r="X99" s="188">
        <f t="shared" si="30"/>
        <v>286235</v>
      </c>
      <c r="Y99" s="188">
        <f t="shared" si="31"/>
        <v>0</v>
      </c>
    </row>
    <row r="100" spans="1:25" ht="15.6" customHeight="1">
      <c r="A100" s="115" t="s">
        <v>772</v>
      </c>
      <c r="B100" s="119">
        <v>53044715</v>
      </c>
      <c r="C100" s="7" t="s">
        <v>332</v>
      </c>
      <c r="D100" s="7" t="s">
        <v>108</v>
      </c>
      <c r="E100" s="7" t="s">
        <v>831</v>
      </c>
      <c r="F100" s="7" t="s">
        <v>832</v>
      </c>
      <c r="G100" s="114" t="s">
        <v>410</v>
      </c>
      <c r="H100" s="7"/>
      <c r="I100" s="64"/>
      <c r="J100" s="119">
        <v>27</v>
      </c>
      <c r="K100" s="138">
        <v>2465868</v>
      </c>
      <c r="L100" s="139">
        <v>2557954.36</v>
      </c>
      <c r="M100" s="140">
        <f>+L100*10%</f>
        <v>255795.43599999999</v>
      </c>
      <c r="N100" s="140">
        <f>+M100*19%</f>
        <v>48601.132839999998</v>
      </c>
      <c r="O100" s="140">
        <f>+L100+M100+N100</f>
        <v>2862350.9288400002</v>
      </c>
      <c r="P100" s="140">
        <f>+ROUND(((O100/30)*J100),0)</f>
        <v>2576116</v>
      </c>
      <c r="Q100" s="142" t="s">
        <v>880</v>
      </c>
      <c r="R100" s="150">
        <v>1300000</v>
      </c>
      <c r="S100" s="150">
        <v>1358000</v>
      </c>
      <c r="T100" s="111" t="s">
        <v>852</v>
      </c>
      <c r="U100" s="140">
        <f>+ROUND(((L100/30)*J100),0)</f>
        <v>2302159</v>
      </c>
      <c r="V100" s="188">
        <f t="shared" si="28"/>
        <v>230215.90000000002</v>
      </c>
      <c r="W100" s="188">
        <f t="shared" si="29"/>
        <v>43741.021000000008</v>
      </c>
      <c r="X100" s="188">
        <f t="shared" si="30"/>
        <v>2576116</v>
      </c>
      <c r="Y100" s="188">
        <f t="shared" si="31"/>
        <v>0</v>
      </c>
    </row>
    <row r="101" spans="1:25" ht="15.6" customHeight="1">
      <c r="A101" s="115" t="s">
        <v>772</v>
      </c>
      <c r="B101" s="119">
        <v>51983032</v>
      </c>
      <c r="C101" s="7" t="s">
        <v>266</v>
      </c>
      <c r="D101" s="7" t="s">
        <v>56</v>
      </c>
      <c r="E101" s="7" t="s">
        <v>105</v>
      </c>
      <c r="F101" s="7" t="s">
        <v>47</v>
      </c>
      <c r="G101" s="114" t="s">
        <v>191</v>
      </c>
      <c r="H101" s="7" t="s">
        <v>14</v>
      </c>
      <c r="I101" s="64"/>
      <c r="J101" s="119">
        <v>30</v>
      </c>
      <c r="K101" s="138">
        <v>2465868</v>
      </c>
      <c r="L101" s="139">
        <v>2557954.36</v>
      </c>
      <c r="M101" s="140">
        <f t="shared" si="37"/>
        <v>255795.43599999999</v>
      </c>
      <c r="N101" s="140">
        <f t="shared" si="38"/>
        <v>48601.132839999998</v>
      </c>
      <c r="O101" s="140">
        <f t="shared" si="39"/>
        <v>2862350.9288400002</v>
      </c>
      <c r="P101" s="140">
        <f t="shared" si="26"/>
        <v>2862351</v>
      </c>
      <c r="Q101" s="141"/>
      <c r="R101" s="150">
        <v>1300000</v>
      </c>
      <c r="S101" s="150">
        <v>1358000</v>
      </c>
      <c r="T101" s="111" t="s">
        <v>841</v>
      </c>
      <c r="U101" s="140">
        <f t="shared" si="27"/>
        <v>2557954</v>
      </c>
      <c r="V101" s="188">
        <f t="shared" si="28"/>
        <v>255795.40000000002</v>
      </c>
      <c r="W101" s="188">
        <f t="shared" si="29"/>
        <v>48601.126000000004</v>
      </c>
      <c r="X101" s="188">
        <f t="shared" si="30"/>
        <v>2862351</v>
      </c>
      <c r="Y101" s="188">
        <f t="shared" si="31"/>
        <v>0</v>
      </c>
    </row>
    <row r="102" spans="1:25" ht="15.6" customHeight="1">
      <c r="A102" s="115" t="s">
        <v>772</v>
      </c>
      <c r="B102" s="119">
        <v>52422971</v>
      </c>
      <c r="C102" s="7" t="s">
        <v>171</v>
      </c>
      <c r="D102" s="7" t="s">
        <v>144</v>
      </c>
      <c r="E102" s="7" t="s">
        <v>235</v>
      </c>
      <c r="F102" s="7"/>
      <c r="G102" s="114" t="s">
        <v>191</v>
      </c>
      <c r="H102" s="7" t="s">
        <v>14</v>
      </c>
      <c r="I102" s="64"/>
      <c r="J102" s="119">
        <v>30</v>
      </c>
      <c r="K102" s="138">
        <v>2465868</v>
      </c>
      <c r="L102" s="139">
        <v>2557954.36</v>
      </c>
      <c r="M102" s="140">
        <f t="shared" si="37"/>
        <v>255795.43599999999</v>
      </c>
      <c r="N102" s="140">
        <f t="shared" si="38"/>
        <v>48601.132839999998</v>
      </c>
      <c r="O102" s="140">
        <f t="shared" si="39"/>
        <v>2862350.9288400002</v>
      </c>
      <c r="P102" s="140">
        <f t="shared" si="26"/>
        <v>2862351</v>
      </c>
      <c r="Q102" s="141"/>
      <c r="R102" s="150">
        <v>1300000</v>
      </c>
      <c r="S102" s="150">
        <v>1392467</v>
      </c>
      <c r="T102" s="111" t="s">
        <v>841</v>
      </c>
      <c r="U102" s="140">
        <f t="shared" si="27"/>
        <v>2557954</v>
      </c>
      <c r="V102" s="188">
        <f t="shared" si="28"/>
        <v>255795.40000000002</v>
      </c>
      <c r="W102" s="188">
        <f t="shared" si="29"/>
        <v>48601.126000000004</v>
      </c>
      <c r="X102" s="188">
        <f t="shared" si="30"/>
        <v>2862351</v>
      </c>
      <c r="Y102" s="188">
        <f t="shared" si="31"/>
        <v>0</v>
      </c>
    </row>
    <row r="103" spans="1:25" ht="15.6" customHeight="1">
      <c r="A103" s="115" t="s">
        <v>772</v>
      </c>
      <c r="B103" s="119">
        <v>52635791</v>
      </c>
      <c r="C103" s="7" t="s">
        <v>214</v>
      </c>
      <c r="D103" s="7" t="s">
        <v>215</v>
      </c>
      <c r="E103" s="7" t="s">
        <v>216</v>
      </c>
      <c r="F103" s="7"/>
      <c r="G103" s="114" t="s">
        <v>191</v>
      </c>
      <c r="H103" s="7" t="s">
        <v>14</v>
      </c>
      <c r="I103" s="64"/>
      <c r="J103" s="119">
        <v>30</v>
      </c>
      <c r="K103" s="138">
        <v>2465868</v>
      </c>
      <c r="L103" s="139">
        <v>2557954.36</v>
      </c>
      <c r="M103" s="140">
        <f t="shared" si="37"/>
        <v>255795.43599999999</v>
      </c>
      <c r="N103" s="140">
        <f t="shared" si="38"/>
        <v>48601.132839999998</v>
      </c>
      <c r="O103" s="140">
        <f t="shared" si="39"/>
        <v>2862350.9288400002</v>
      </c>
      <c r="P103" s="140">
        <f t="shared" si="26"/>
        <v>2862351</v>
      </c>
      <c r="Q103" s="141"/>
      <c r="R103" s="150">
        <v>1300000</v>
      </c>
      <c r="S103" s="150">
        <v>1358000</v>
      </c>
      <c r="T103" s="111" t="s">
        <v>841</v>
      </c>
      <c r="U103" s="140">
        <f t="shared" si="27"/>
        <v>2557954</v>
      </c>
      <c r="V103" s="188">
        <f t="shared" si="28"/>
        <v>255795.40000000002</v>
      </c>
      <c r="W103" s="188">
        <f t="shared" si="29"/>
        <v>48601.126000000004</v>
      </c>
      <c r="X103" s="188">
        <f t="shared" si="30"/>
        <v>2862351</v>
      </c>
      <c r="Y103" s="188">
        <f t="shared" si="31"/>
        <v>0</v>
      </c>
    </row>
    <row r="104" spans="1:25" ht="15.6" customHeight="1">
      <c r="A104" s="115" t="s">
        <v>772</v>
      </c>
      <c r="B104" s="119">
        <v>69802250</v>
      </c>
      <c r="C104" s="7" t="s">
        <v>166</v>
      </c>
      <c r="D104" s="7" t="s">
        <v>115</v>
      </c>
      <c r="E104" s="7" t="s">
        <v>71</v>
      </c>
      <c r="F104" s="7" t="s">
        <v>211</v>
      </c>
      <c r="G104" s="114" t="s">
        <v>191</v>
      </c>
      <c r="H104" s="7" t="s">
        <v>14</v>
      </c>
      <c r="I104" s="64"/>
      <c r="J104" s="119">
        <v>30</v>
      </c>
      <c r="K104" s="138">
        <v>2465868</v>
      </c>
      <c r="L104" s="139">
        <v>2557954.36</v>
      </c>
      <c r="M104" s="140">
        <f t="shared" si="37"/>
        <v>255795.43599999999</v>
      </c>
      <c r="N104" s="140">
        <f t="shared" si="38"/>
        <v>48601.132839999998</v>
      </c>
      <c r="O104" s="140">
        <f t="shared" si="39"/>
        <v>2862350.9288400002</v>
      </c>
      <c r="P104" s="140">
        <f t="shared" si="26"/>
        <v>2862351</v>
      </c>
      <c r="Q104" s="141"/>
      <c r="R104" s="150">
        <v>1300000</v>
      </c>
      <c r="S104" s="150">
        <v>1358000</v>
      </c>
      <c r="T104" s="111" t="s">
        <v>841</v>
      </c>
      <c r="U104" s="140">
        <f t="shared" si="27"/>
        <v>2557954</v>
      </c>
      <c r="V104" s="188">
        <f t="shared" si="28"/>
        <v>255795.40000000002</v>
      </c>
      <c r="W104" s="188">
        <f t="shared" si="29"/>
        <v>48601.126000000004</v>
      </c>
      <c r="X104" s="188">
        <f t="shared" si="30"/>
        <v>2862351</v>
      </c>
      <c r="Y104" s="188">
        <f t="shared" si="31"/>
        <v>0</v>
      </c>
    </row>
    <row r="105" spans="1:25" ht="15.6" customHeight="1">
      <c r="A105" s="115" t="s">
        <v>772</v>
      </c>
      <c r="B105" s="119">
        <v>94401092</v>
      </c>
      <c r="C105" s="7" t="s">
        <v>795</v>
      </c>
      <c r="D105" s="7"/>
      <c r="E105" s="7" t="s">
        <v>796</v>
      </c>
      <c r="F105" s="7"/>
      <c r="G105" s="114" t="s">
        <v>13</v>
      </c>
      <c r="H105" s="64">
        <v>45444</v>
      </c>
      <c r="I105" s="64"/>
      <c r="J105" s="119">
        <v>30</v>
      </c>
      <c r="K105" s="138">
        <v>2465868</v>
      </c>
      <c r="L105" s="139">
        <v>2557954.36</v>
      </c>
      <c r="M105" s="140">
        <f t="shared" si="37"/>
        <v>255795.43599999999</v>
      </c>
      <c r="N105" s="140">
        <f t="shared" si="38"/>
        <v>48601.132839999998</v>
      </c>
      <c r="O105" s="140">
        <f t="shared" si="39"/>
        <v>2862350.9288400002</v>
      </c>
      <c r="P105" s="140">
        <f>+ROUND(((O105/30)*J105),0)</f>
        <v>2862351</v>
      </c>
      <c r="Q105" s="141"/>
      <c r="R105" s="144">
        <v>1390000</v>
      </c>
      <c r="S105" s="150">
        <v>1440800</v>
      </c>
      <c r="T105" s="111" t="s">
        <v>852</v>
      </c>
      <c r="U105" s="140">
        <f t="shared" si="27"/>
        <v>2557954</v>
      </c>
      <c r="V105" s="188">
        <f t="shared" si="28"/>
        <v>255795.40000000002</v>
      </c>
      <c r="W105" s="188">
        <f t="shared" si="29"/>
        <v>48601.126000000004</v>
      </c>
      <c r="X105" s="188">
        <f t="shared" si="30"/>
        <v>2862351</v>
      </c>
      <c r="Y105" s="188">
        <f t="shared" si="31"/>
        <v>0</v>
      </c>
    </row>
    <row r="106" spans="1:25" ht="15.6" customHeight="1">
      <c r="A106" s="115" t="s">
        <v>772</v>
      </c>
      <c r="B106" s="119">
        <v>52465439</v>
      </c>
      <c r="C106" s="7" t="s">
        <v>199</v>
      </c>
      <c r="D106" s="7" t="s">
        <v>127</v>
      </c>
      <c r="E106" s="7" t="s">
        <v>128</v>
      </c>
      <c r="F106" s="7"/>
      <c r="G106" s="114" t="s">
        <v>191</v>
      </c>
      <c r="H106" s="7" t="s">
        <v>14</v>
      </c>
      <c r="I106" s="64"/>
      <c r="J106" s="119">
        <v>30</v>
      </c>
      <c r="K106" s="138">
        <v>2465868</v>
      </c>
      <c r="L106" s="139">
        <v>2557954.36</v>
      </c>
      <c r="M106" s="140">
        <f t="shared" si="37"/>
        <v>255795.43599999999</v>
      </c>
      <c r="N106" s="140">
        <f t="shared" si="38"/>
        <v>48601.132839999998</v>
      </c>
      <c r="O106" s="140">
        <f t="shared" si="39"/>
        <v>2862350.9288400002</v>
      </c>
      <c r="P106" s="140">
        <f t="shared" si="26"/>
        <v>2862351</v>
      </c>
      <c r="Q106" s="141"/>
      <c r="R106" s="142">
        <v>1300000</v>
      </c>
      <c r="S106" s="142">
        <v>1358000</v>
      </c>
      <c r="T106" s="111" t="s">
        <v>841</v>
      </c>
      <c r="U106" s="140">
        <f t="shared" si="27"/>
        <v>2557954</v>
      </c>
      <c r="V106" s="188">
        <f t="shared" si="28"/>
        <v>255795.40000000002</v>
      </c>
      <c r="W106" s="188">
        <f t="shared" si="29"/>
        <v>48601.126000000004</v>
      </c>
      <c r="X106" s="188">
        <f t="shared" si="30"/>
        <v>2862351</v>
      </c>
      <c r="Y106" s="188">
        <f t="shared" si="31"/>
        <v>0</v>
      </c>
    </row>
    <row r="107" spans="1:25" ht="15.6" customHeight="1">
      <c r="A107" s="115" t="s">
        <v>773</v>
      </c>
      <c r="B107" s="119">
        <v>28057943</v>
      </c>
      <c r="C107" s="7" t="s">
        <v>138</v>
      </c>
      <c r="D107" s="7" t="s">
        <v>139</v>
      </c>
      <c r="E107" s="7" t="s">
        <v>140</v>
      </c>
      <c r="F107" s="7"/>
      <c r="G107" s="114" t="s">
        <v>191</v>
      </c>
      <c r="H107" s="7" t="s">
        <v>14</v>
      </c>
      <c r="I107" s="64"/>
      <c r="J107" s="119">
        <v>30</v>
      </c>
      <c r="K107" s="138">
        <v>2465868</v>
      </c>
      <c r="L107" s="139">
        <v>2557954.36</v>
      </c>
      <c r="M107" s="140">
        <f t="shared" si="37"/>
        <v>255795.43599999999</v>
      </c>
      <c r="N107" s="140">
        <f t="shared" si="38"/>
        <v>48601.132839999998</v>
      </c>
      <c r="O107" s="140">
        <f t="shared" si="39"/>
        <v>2862350.9288400002</v>
      </c>
      <c r="P107" s="140">
        <f t="shared" si="26"/>
        <v>2862351</v>
      </c>
      <c r="Q107" s="141"/>
      <c r="R107" s="150">
        <v>1300000</v>
      </c>
      <c r="S107" s="150">
        <v>1358000</v>
      </c>
      <c r="T107" s="111" t="s">
        <v>841</v>
      </c>
      <c r="U107" s="140">
        <f t="shared" si="27"/>
        <v>2557954</v>
      </c>
      <c r="V107" s="188">
        <f t="shared" si="28"/>
        <v>255795.40000000002</v>
      </c>
      <c r="W107" s="188">
        <f t="shared" si="29"/>
        <v>48601.126000000004</v>
      </c>
      <c r="X107" s="188">
        <f t="shared" si="30"/>
        <v>2862351</v>
      </c>
      <c r="Y107" s="188">
        <f t="shared" si="31"/>
        <v>0</v>
      </c>
    </row>
    <row r="108" spans="1:25" ht="15.6" customHeight="1">
      <c r="A108" s="115" t="s">
        <v>773</v>
      </c>
      <c r="B108" s="119">
        <v>52064422</v>
      </c>
      <c r="C108" s="7" t="s">
        <v>162</v>
      </c>
      <c r="D108" s="7" t="s">
        <v>147</v>
      </c>
      <c r="E108" s="7" t="s">
        <v>159</v>
      </c>
      <c r="F108" s="7" t="s">
        <v>146</v>
      </c>
      <c r="G108" s="114" t="s">
        <v>191</v>
      </c>
      <c r="H108" s="7" t="s">
        <v>14</v>
      </c>
      <c r="I108" s="64"/>
      <c r="J108" s="119">
        <v>30</v>
      </c>
      <c r="K108" s="138">
        <v>2465868</v>
      </c>
      <c r="L108" s="139">
        <v>2557954.36</v>
      </c>
      <c r="M108" s="140">
        <f t="shared" si="37"/>
        <v>255795.43599999999</v>
      </c>
      <c r="N108" s="140">
        <f t="shared" si="38"/>
        <v>48601.132839999998</v>
      </c>
      <c r="O108" s="140">
        <f t="shared" si="39"/>
        <v>2862350.9288400002</v>
      </c>
      <c r="P108" s="140">
        <f t="shared" si="26"/>
        <v>2862351</v>
      </c>
      <c r="Q108" s="141"/>
      <c r="R108" s="142">
        <v>1300000</v>
      </c>
      <c r="S108" s="142">
        <v>1358000</v>
      </c>
      <c r="T108" s="111" t="s">
        <v>841</v>
      </c>
      <c r="U108" s="140">
        <f t="shared" si="27"/>
        <v>2557954</v>
      </c>
      <c r="V108" s="188">
        <f t="shared" si="28"/>
        <v>255795.40000000002</v>
      </c>
      <c r="W108" s="188">
        <f t="shared" si="29"/>
        <v>48601.126000000004</v>
      </c>
      <c r="X108" s="188">
        <f t="shared" si="30"/>
        <v>2862351</v>
      </c>
      <c r="Y108" s="188">
        <f t="shared" si="31"/>
        <v>0</v>
      </c>
    </row>
    <row r="109" spans="1:25" ht="15.6" customHeight="1">
      <c r="A109" s="115" t="s">
        <v>773</v>
      </c>
      <c r="B109" s="119">
        <v>79509824</v>
      </c>
      <c r="C109" s="7" t="s">
        <v>273</v>
      </c>
      <c r="D109" s="7" t="s">
        <v>431</v>
      </c>
      <c r="E109" s="7" t="s">
        <v>432</v>
      </c>
      <c r="F109" s="7"/>
      <c r="G109" s="114" t="s">
        <v>13</v>
      </c>
      <c r="H109" s="7" t="s">
        <v>430</v>
      </c>
      <c r="I109" s="64"/>
      <c r="J109" s="119">
        <v>30</v>
      </c>
      <c r="K109" s="138">
        <v>2465868</v>
      </c>
      <c r="L109" s="139">
        <v>2557954.36</v>
      </c>
      <c r="M109" s="140">
        <f t="shared" si="37"/>
        <v>255795.43599999999</v>
      </c>
      <c r="N109" s="140">
        <f t="shared" si="38"/>
        <v>48601.132839999998</v>
      </c>
      <c r="O109" s="140">
        <f t="shared" si="39"/>
        <v>2862350.9288400002</v>
      </c>
      <c r="P109" s="140">
        <f t="shared" si="26"/>
        <v>2862351</v>
      </c>
      <c r="Q109" s="141"/>
      <c r="R109" s="144">
        <v>1390000</v>
      </c>
      <c r="S109" s="150">
        <v>1440800</v>
      </c>
      <c r="T109" s="111" t="s">
        <v>851</v>
      </c>
      <c r="U109" s="140">
        <f t="shared" si="27"/>
        <v>2557954</v>
      </c>
      <c r="V109" s="188">
        <f t="shared" si="28"/>
        <v>255795.40000000002</v>
      </c>
      <c r="W109" s="188">
        <f t="shared" si="29"/>
        <v>48601.126000000004</v>
      </c>
      <c r="X109" s="188">
        <f t="shared" si="30"/>
        <v>2862351</v>
      </c>
      <c r="Y109" s="188">
        <f t="shared" si="31"/>
        <v>0</v>
      </c>
    </row>
    <row r="110" spans="1:25" ht="15.6" customHeight="1">
      <c r="A110" s="115" t="s">
        <v>773</v>
      </c>
      <c r="B110" s="119">
        <v>1022344041</v>
      </c>
      <c r="C110" s="7" t="s">
        <v>58</v>
      </c>
      <c r="D110" s="7" t="s">
        <v>59</v>
      </c>
      <c r="E110" s="7" t="s">
        <v>60</v>
      </c>
      <c r="F110" s="7" t="s">
        <v>54</v>
      </c>
      <c r="G110" s="114" t="s">
        <v>191</v>
      </c>
      <c r="H110" s="7" t="s">
        <v>14</v>
      </c>
      <c r="I110" s="64"/>
      <c r="J110" s="119">
        <v>30</v>
      </c>
      <c r="K110" s="138">
        <v>2465868</v>
      </c>
      <c r="L110" s="139">
        <v>2557954.36</v>
      </c>
      <c r="M110" s="140">
        <f t="shared" si="37"/>
        <v>255795.43599999999</v>
      </c>
      <c r="N110" s="140">
        <f t="shared" si="38"/>
        <v>48601.132839999998</v>
      </c>
      <c r="O110" s="140">
        <f t="shared" si="39"/>
        <v>2862350.9288400002</v>
      </c>
      <c r="P110" s="140">
        <f t="shared" si="26"/>
        <v>2862351</v>
      </c>
      <c r="Q110" s="141"/>
      <c r="R110" s="150">
        <v>1300000</v>
      </c>
      <c r="S110" s="150">
        <v>1358000</v>
      </c>
      <c r="T110" s="111" t="s">
        <v>841</v>
      </c>
      <c r="U110" s="140">
        <f t="shared" si="27"/>
        <v>2557954</v>
      </c>
      <c r="V110" s="188">
        <f t="shared" si="28"/>
        <v>255795.40000000002</v>
      </c>
      <c r="W110" s="188">
        <f t="shared" si="29"/>
        <v>48601.126000000004</v>
      </c>
      <c r="X110" s="188">
        <f t="shared" si="30"/>
        <v>2862351</v>
      </c>
      <c r="Y110" s="188">
        <f t="shared" si="31"/>
        <v>0</v>
      </c>
    </row>
    <row r="111" spans="1:25" ht="15" customHeight="1">
      <c r="A111" s="115" t="s">
        <v>773</v>
      </c>
      <c r="B111" s="7">
        <v>52317516</v>
      </c>
      <c r="C111" s="7" t="s">
        <v>73</v>
      </c>
      <c r="D111" s="7" t="s">
        <v>375</v>
      </c>
      <c r="E111" s="7" t="s">
        <v>376</v>
      </c>
      <c r="F111" s="7"/>
      <c r="G111" s="114" t="s">
        <v>191</v>
      </c>
      <c r="H111" s="7" t="s">
        <v>354</v>
      </c>
      <c r="I111" s="64"/>
      <c r="J111" s="94">
        <v>28</v>
      </c>
      <c r="K111" s="138">
        <v>2465868</v>
      </c>
      <c r="L111" s="139">
        <v>2557954.36</v>
      </c>
      <c r="M111" s="140">
        <f t="shared" si="37"/>
        <v>255795.43599999999</v>
      </c>
      <c r="N111" s="140">
        <f t="shared" si="38"/>
        <v>48601.132839999998</v>
      </c>
      <c r="O111" s="140">
        <f t="shared" si="39"/>
        <v>2862350.9288400002</v>
      </c>
      <c r="P111" s="140">
        <f t="shared" si="26"/>
        <v>2671528</v>
      </c>
      <c r="Q111" s="148" t="s">
        <v>840</v>
      </c>
      <c r="R111" s="144">
        <v>1300000</v>
      </c>
      <c r="S111" s="152"/>
      <c r="T111" s="8" t="s">
        <v>803</v>
      </c>
      <c r="U111" s="140">
        <f t="shared" si="27"/>
        <v>2387424</v>
      </c>
      <c r="V111" s="188">
        <f t="shared" si="28"/>
        <v>238742.40000000002</v>
      </c>
      <c r="W111" s="188">
        <f t="shared" si="29"/>
        <v>45361.056000000004</v>
      </c>
      <c r="X111" s="188">
        <f t="shared" si="30"/>
        <v>2671527</v>
      </c>
      <c r="Y111" s="188">
        <f t="shared" si="31"/>
        <v>-1</v>
      </c>
    </row>
    <row r="112" spans="1:25" ht="15.6" customHeight="1">
      <c r="A112" s="115" t="s">
        <v>773</v>
      </c>
      <c r="B112" s="119">
        <v>1023031155</v>
      </c>
      <c r="C112" s="7" t="s">
        <v>90</v>
      </c>
      <c r="D112" s="7" t="s">
        <v>94</v>
      </c>
      <c r="E112" s="7" t="s">
        <v>95</v>
      </c>
      <c r="F112" s="7" t="s">
        <v>57</v>
      </c>
      <c r="G112" s="114" t="s">
        <v>191</v>
      </c>
      <c r="H112" s="7" t="s">
        <v>14</v>
      </c>
      <c r="I112" s="64"/>
      <c r="J112" s="119">
        <v>30</v>
      </c>
      <c r="K112" s="138">
        <v>2465868</v>
      </c>
      <c r="L112" s="139">
        <v>2557954.36</v>
      </c>
      <c r="M112" s="140">
        <f t="shared" si="37"/>
        <v>255795.43599999999</v>
      </c>
      <c r="N112" s="140">
        <f t="shared" si="38"/>
        <v>48601.132839999998</v>
      </c>
      <c r="O112" s="140">
        <f t="shared" si="39"/>
        <v>2862350.9288400002</v>
      </c>
      <c r="P112" s="140">
        <f t="shared" si="26"/>
        <v>2862351</v>
      </c>
      <c r="Q112" s="141"/>
      <c r="R112" s="150">
        <v>1300000</v>
      </c>
      <c r="S112" s="150">
        <v>1358000</v>
      </c>
      <c r="T112" s="111" t="s">
        <v>841</v>
      </c>
      <c r="U112" s="140">
        <f t="shared" si="27"/>
        <v>2557954</v>
      </c>
      <c r="V112" s="188">
        <f t="shared" si="28"/>
        <v>255795.40000000002</v>
      </c>
      <c r="W112" s="188">
        <f t="shared" si="29"/>
        <v>48601.126000000004</v>
      </c>
      <c r="X112" s="188">
        <f t="shared" si="30"/>
        <v>2862351</v>
      </c>
      <c r="Y112" s="188">
        <f t="shared" si="31"/>
        <v>0</v>
      </c>
    </row>
    <row r="113" spans="1:25" ht="15.6" customHeight="1">
      <c r="A113" s="115" t="s">
        <v>774</v>
      </c>
      <c r="B113" s="119">
        <v>52122597</v>
      </c>
      <c r="C113" s="7" t="s">
        <v>38</v>
      </c>
      <c r="D113" s="7" t="s">
        <v>39</v>
      </c>
      <c r="E113" s="7" t="s">
        <v>40</v>
      </c>
      <c r="F113" s="7"/>
      <c r="G113" s="114" t="s">
        <v>191</v>
      </c>
      <c r="H113" s="7" t="s">
        <v>14</v>
      </c>
      <c r="I113" s="64"/>
      <c r="J113" s="119">
        <v>30</v>
      </c>
      <c r="K113" s="138">
        <v>2465868</v>
      </c>
      <c r="L113" s="139">
        <v>2557954.36</v>
      </c>
      <c r="M113" s="140">
        <f>+L113*10%</f>
        <v>255795.43599999999</v>
      </c>
      <c r="N113" s="140">
        <f>+M113*19%</f>
        <v>48601.132839999998</v>
      </c>
      <c r="O113" s="140">
        <f>+L113+M113+N113</f>
        <v>2862350.9288400002</v>
      </c>
      <c r="P113" s="140">
        <f>+ROUND(((O113/30)*J113),0)</f>
        <v>2862351</v>
      </c>
      <c r="Q113" s="141"/>
      <c r="R113" s="150">
        <v>1300000</v>
      </c>
      <c r="S113" s="150">
        <v>1358000</v>
      </c>
      <c r="T113" s="111" t="s">
        <v>841</v>
      </c>
      <c r="U113" s="140">
        <f>+ROUND(((L113/30)*J113),0)</f>
        <v>2557954</v>
      </c>
      <c r="V113" s="188">
        <f t="shared" si="28"/>
        <v>255795.40000000002</v>
      </c>
      <c r="W113" s="188">
        <f t="shared" si="29"/>
        <v>48601.126000000004</v>
      </c>
      <c r="X113" s="188">
        <f t="shared" si="30"/>
        <v>2862351</v>
      </c>
      <c r="Y113" s="188">
        <f t="shared" si="31"/>
        <v>0</v>
      </c>
    </row>
    <row r="114" spans="1:25" ht="15.6" customHeight="1">
      <c r="A114" s="115" t="s">
        <v>774</v>
      </c>
      <c r="B114" s="119">
        <v>51921922</v>
      </c>
      <c r="C114" s="7" t="s">
        <v>147</v>
      </c>
      <c r="D114" s="7" t="s">
        <v>144</v>
      </c>
      <c r="E114" s="7" t="s">
        <v>288</v>
      </c>
      <c r="F114" s="7" t="s">
        <v>47</v>
      </c>
      <c r="G114" s="114" t="s">
        <v>191</v>
      </c>
      <c r="H114" s="64">
        <v>45404</v>
      </c>
      <c r="I114" s="64"/>
      <c r="J114" s="119">
        <v>30</v>
      </c>
      <c r="K114" s="138">
        <v>2465868</v>
      </c>
      <c r="L114" s="139">
        <v>2557954.36</v>
      </c>
      <c r="M114" s="140">
        <f t="shared" si="37"/>
        <v>255795.43599999999</v>
      </c>
      <c r="N114" s="140">
        <f t="shared" si="38"/>
        <v>48601.132839999998</v>
      </c>
      <c r="O114" s="140">
        <f t="shared" si="39"/>
        <v>2862350.9288400002</v>
      </c>
      <c r="P114" s="140">
        <f t="shared" si="26"/>
        <v>2862351</v>
      </c>
      <c r="Q114" s="141"/>
      <c r="R114" s="150">
        <v>1300000</v>
      </c>
      <c r="S114" s="150">
        <v>1358000</v>
      </c>
      <c r="T114" s="8" t="s">
        <v>841</v>
      </c>
      <c r="U114" s="140">
        <f t="shared" si="27"/>
        <v>2557954</v>
      </c>
      <c r="V114" s="188">
        <f t="shared" si="28"/>
        <v>255795.40000000002</v>
      </c>
      <c r="W114" s="188">
        <f t="shared" si="29"/>
        <v>48601.126000000004</v>
      </c>
      <c r="X114" s="188">
        <f t="shared" si="30"/>
        <v>2862351</v>
      </c>
      <c r="Y114" s="188">
        <f t="shared" si="31"/>
        <v>0</v>
      </c>
    </row>
    <row r="115" spans="1:25" ht="15.6" customHeight="1">
      <c r="A115" s="115" t="s">
        <v>774</v>
      </c>
      <c r="B115" s="119">
        <v>52112939</v>
      </c>
      <c r="C115" s="7" t="s">
        <v>125</v>
      </c>
      <c r="D115" s="7" t="s">
        <v>126</v>
      </c>
      <c r="E115" s="7" t="s">
        <v>127</v>
      </c>
      <c r="F115" s="7" t="s">
        <v>128</v>
      </c>
      <c r="G115" s="114" t="s">
        <v>191</v>
      </c>
      <c r="H115" s="7" t="s">
        <v>14</v>
      </c>
      <c r="I115" s="64"/>
      <c r="J115" s="119">
        <v>30</v>
      </c>
      <c r="K115" s="138">
        <v>2465868</v>
      </c>
      <c r="L115" s="139">
        <v>2557954.36</v>
      </c>
      <c r="M115" s="140">
        <f t="shared" si="37"/>
        <v>255795.43599999999</v>
      </c>
      <c r="N115" s="140">
        <f t="shared" si="38"/>
        <v>48601.132839999998</v>
      </c>
      <c r="O115" s="140">
        <f t="shared" si="39"/>
        <v>2862350.9288400002</v>
      </c>
      <c r="P115" s="140">
        <f t="shared" si="26"/>
        <v>2862351</v>
      </c>
      <c r="Q115" s="141"/>
      <c r="R115" s="144">
        <v>1300000</v>
      </c>
      <c r="S115" s="142">
        <v>1358000</v>
      </c>
      <c r="T115" s="111" t="s">
        <v>843</v>
      </c>
      <c r="U115" s="140">
        <f t="shared" si="27"/>
        <v>2557954</v>
      </c>
      <c r="V115" s="188">
        <f t="shared" si="28"/>
        <v>255795.40000000002</v>
      </c>
      <c r="W115" s="188">
        <f t="shared" si="29"/>
        <v>48601.126000000004</v>
      </c>
      <c r="X115" s="188">
        <f t="shared" si="30"/>
        <v>2862351</v>
      </c>
      <c r="Y115" s="188">
        <f t="shared" si="31"/>
        <v>0</v>
      </c>
    </row>
    <row r="116" spans="1:25" ht="15.6" customHeight="1">
      <c r="A116" s="115" t="s">
        <v>774</v>
      </c>
      <c r="B116" s="119">
        <v>52164356</v>
      </c>
      <c r="C116" s="7" t="s">
        <v>118</v>
      </c>
      <c r="D116" s="7" t="s">
        <v>119</v>
      </c>
      <c r="E116" s="7" t="s">
        <v>71</v>
      </c>
      <c r="F116" s="7" t="s">
        <v>120</v>
      </c>
      <c r="G116" s="114" t="s">
        <v>191</v>
      </c>
      <c r="H116" s="7" t="s">
        <v>14</v>
      </c>
      <c r="I116" s="64"/>
      <c r="J116" s="119">
        <v>30</v>
      </c>
      <c r="K116" s="138">
        <v>2465868</v>
      </c>
      <c r="L116" s="139">
        <v>2557954.36</v>
      </c>
      <c r="M116" s="140">
        <f t="shared" si="37"/>
        <v>255795.43599999999</v>
      </c>
      <c r="N116" s="140">
        <f t="shared" si="38"/>
        <v>48601.132839999998</v>
      </c>
      <c r="O116" s="140">
        <f t="shared" si="39"/>
        <v>2862350.9288400002</v>
      </c>
      <c r="P116" s="140">
        <f t="shared" si="26"/>
        <v>2862351</v>
      </c>
      <c r="Q116" s="141"/>
      <c r="R116" s="150">
        <v>1300000</v>
      </c>
      <c r="S116" s="150">
        <v>1358000</v>
      </c>
      <c r="T116" s="111" t="s">
        <v>841</v>
      </c>
      <c r="U116" s="140">
        <f t="shared" si="27"/>
        <v>2557954</v>
      </c>
      <c r="V116" s="188">
        <f t="shared" si="28"/>
        <v>255795.40000000002</v>
      </c>
      <c r="W116" s="188">
        <f t="shared" si="29"/>
        <v>48601.126000000004</v>
      </c>
      <c r="X116" s="188">
        <f t="shared" si="30"/>
        <v>2862351</v>
      </c>
      <c r="Y116" s="188">
        <f t="shared" si="31"/>
        <v>0</v>
      </c>
    </row>
    <row r="117" spans="1:25" ht="15.6" customHeight="1">
      <c r="A117" s="115" t="s">
        <v>774</v>
      </c>
      <c r="B117" s="119">
        <v>80369946</v>
      </c>
      <c r="C117" s="7" t="s">
        <v>46</v>
      </c>
      <c r="D117" s="7" t="s">
        <v>114</v>
      </c>
      <c r="E117" s="7" t="s">
        <v>209</v>
      </c>
      <c r="F117" s="7" t="s">
        <v>99</v>
      </c>
      <c r="G117" s="114" t="s">
        <v>13</v>
      </c>
      <c r="H117" s="7" t="s">
        <v>14</v>
      </c>
      <c r="I117" s="64"/>
      <c r="J117" s="119">
        <v>30</v>
      </c>
      <c r="K117" s="138">
        <v>2465868</v>
      </c>
      <c r="L117" s="139">
        <v>2557954.36</v>
      </c>
      <c r="M117" s="140">
        <f t="shared" si="37"/>
        <v>255795.43599999999</v>
      </c>
      <c r="N117" s="140">
        <f t="shared" si="38"/>
        <v>48601.132839999998</v>
      </c>
      <c r="O117" s="140">
        <f t="shared" si="39"/>
        <v>2862350.9288400002</v>
      </c>
      <c r="P117" s="140">
        <f t="shared" si="26"/>
        <v>2862351</v>
      </c>
      <c r="Q117" s="141"/>
      <c r="R117" s="144">
        <v>1390000</v>
      </c>
      <c r="S117" s="150">
        <v>1440800</v>
      </c>
      <c r="T117" s="111" t="s">
        <v>841</v>
      </c>
      <c r="U117" s="140">
        <f t="shared" si="27"/>
        <v>2557954</v>
      </c>
      <c r="V117" s="188">
        <f t="shared" si="28"/>
        <v>255795.40000000002</v>
      </c>
      <c r="W117" s="188">
        <f t="shared" si="29"/>
        <v>48601.126000000004</v>
      </c>
      <c r="X117" s="188">
        <f t="shared" si="30"/>
        <v>2862351</v>
      </c>
      <c r="Y117" s="188">
        <f t="shared" si="31"/>
        <v>0</v>
      </c>
    </row>
    <row r="118" spans="1:25" ht="15.6" customHeight="1">
      <c r="A118" s="115" t="s">
        <v>774</v>
      </c>
      <c r="B118" s="119">
        <v>1013618485</v>
      </c>
      <c r="C118" s="7" t="s">
        <v>181</v>
      </c>
      <c r="D118" s="7" t="s">
        <v>360</v>
      </c>
      <c r="E118" s="7" t="s">
        <v>222</v>
      </c>
      <c r="F118" s="7" t="s">
        <v>223</v>
      </c>
      <c r="G118" s="114" t="s">
        <v>191</v>
      </c>
      <c r="H118" s="7" t="s">
        <v>354</v>
      </c>
      <c r="I118" s="64"/>
      <c r="J118" s="119">
        <v>30</v>
      </c>
      <c r="K118" s="138">
        <v>2465868</v>
      </c>
      <c r="L118" s="139">
        <v>2557954.36</v>
      </c>
      <c r="M118" s="140">
        <f t="shared" si="37"/>
        <v>255795.43599999999</v>
      </c>
      <c r="N118" s="140">
        <f t="shared" si="38"/>
        <v>48601.132839999998</v>
      </c>
      <c r="O118" s="140">
        <f t="shared" si="39"/>
        <v>2862350.9288400002</v>
      </c>
      <c r="P118" s="140">
        <f t="shared" si="26"/>
        <v>2862351</v>
      </c>
      <c r="Q118" s="141"/>
      <c r="R118" s="150">
        <v>1300000</v>
      </c>
      <c r="S118" s="150">
        <v>1358000</v>
      </c>
      <c r="T118" s="111" t="s">
        <v>857</v>
      </c>
      <c r="U118" s="140">
        <f t="shared" si="27"/>
        <v>2557954</v>
      </c>
      <c r="V118" s="188">
        <f t="shared" si="28"/>
        <v>255795.40000000002</v>
      </c>
      <c r="W118" s="188">
        <f t="shared" si="29"/>
        <v>48601.126000000004</v>
      </c>
      <c r="X118" s="188">
        <f t="shared" si="30"/>
        <v>2862351</v>
      </c>
      <c r="Y118" s="188">
        <f t="shared" si="31"/>
        <v>0</v>
      </c>
    </row>
    <row r="119" spans="1:25" ht="15.6" customHeight="1">
      <c r="A119" s="115" t="s">
        <v>774</v>
      </c>
      <c r="B119" s="119">
        <v>1024477306</v>
      </c>
      <c r="C119" s="7" t="s">
        <v>132</v>
      </c>
      <c r="D119" s="7" t="s">
        <v>73</v>
      </c>
      <c r="E119" s="7" t="s">
        <v>60</v>
      </c>
      <c r="F119" s="7" t="s">
        <v>47</v>
      </c>
      <c r="G119" s="114" t="s">
        <v>191</v>
      </c>
      <c r="H119" s="7" t="s">
        <v>14</v>
      </c>
      <c r="I119" s="64"/>
      <c r="J119" s="119">
        <v>30</v>
      </c>
      <c r="K119" s="138">
        <v>2465868</v>
      </c>
      <c r="L119" s="139">
        <v>2557954.36</v>
      </c>
      <c r="M119" s="140">
        <f t="shared" si="37"/>
        <v>255795.43599999999</v>
      </c>
      <c r="N119" s="140">
        <f t="shared" si="38"/>
        <v>48601.132839999998</v>
      </c>
      <c r="O119" s="140">
        <f t="shared" si="39"/>
        <v>2862350.9288400002</v>
      </c>
      <c r="P119" s="140">
        <f t="shared" si="26"/>
        <v>2862351</v>
      </c>
      <c r="Q119" s="141"/>
      <c r="R119" s="150">
        <v>1300000</v>
      </c>
      <c r="S119" s="150">
        <v>1358000</v>
      </c>
      <c r="T119" s="111" t="s">
        <v>841</v>
      </c>
      <c r="U119" s="140">
        <f t="shared" si="27"/>
        <v>2557954</v>
      </c>
      <c r="V119" s="188">
        <f t="shared" si="28"/>
        <v>255795.40000000002</v>
      </c>
      <c r="W119" s="188">
        <f t="shared" si="29"/>
        <v>48601.126000000004</v>
      </c>
      <c r="X119" s="188">
        <f t="shared" si="30"/>
        <v>2862351</v>
      </c>
      <c r="Y119" s="188">
        <f t="shared" si="31"/>
        <v>0</v>
      </c>
    </row>
    <row r="120" spans="1:25" ht="15.6" customHeight="1">
      <c r="A120" s="115" t="s">
        <v>774</v>
      </c>
      <c r="B120" s="119">
        <v>1090390268</v>
      </c>
      <c r="C120" s="7" t="s">
        <v>373</v>
      </c>
      <c r="D120" s="7" t="s">
        <v>373</v>
      </c>
      <c r="E120" s="7" t="s">
        <v>78</v>
      </c>
      <c r="F120" s="7" t="s">
        <v>739</v>
      </c>
      <c r="G120" s="114" t="s">
        <v>13</v>
      </c>
      <c r="H120" s="64">
        <v>45395</v>
      </c>
      <c r="I120" s="64"/>
      <c r="J120" s="119">
        <v>30</v>
      </c>
      <c r="K120" s="138">
        <v>2465868</v>
      </c>
      <c r="L120" s="139">
        <v>2557954.36</v>
      </c>
      <c r="M120" s="140">
        <f t="shared" si="37"/>
        <v>255795.43599999999</v>
      </c>
      <c r="N120" s="140">
        <f t="shared" si="38"/>
        <v>48601.132839999998</v>
      </c>
      <c r="O120" s="140">
        <f t="shared" si="39"/>
        <v>2862350.9288400002</v>
      </c>
      <c r="P120" s="140">
        <f t="shared" si="26"/>
        <v>2862351</v>
      </c>
      <c r="Q120" s="141"/>
      <c r="R120" s="144">
        <v>1390000</v>
      </c>
      <c r="S120" s="150">
        <v>1440800</v>
      </c>
      <c r="T120" s="111" t="s">
        <v>851</v>
      </c>
      <c r="U120" s="140">
        <f t="shared" si="27"/>
        <v>2557954</v>
      </c>
      <c r="V120" s="188">
        <f t="shared" si="28"/>
        <v>255795.40000000002</v>
      </c>
      <c r="W120" s="188">
        <f t="shared" si="29"/>
        <v>48601.126000000004</v>
      </c>
      <c r="X120" s="188">
        <f t="shared" si="30"/>
        <v>2862351</v>
      </c>
      <c r="Y120" s="188">
        <f t="shared" si="31"/>
        <v>0</v>
      </c>
    </row>
    <row r="121" spans="1:25" ht="15.6" customHeight="1">
      <c r="A121" s="115" t="s">
        <v>662</v>
      </c>
      <c r="B121" s="119">
        <v>30225706</v>
      </c>
      <c r="C121" s="7" t="s">
        <v>386</v>
      </c>
      <c r="D121" s="7" t="s">
        <v>263</v>
      </c>
      <c r="E121" s="7" t="s">
        <v>127</v>
      </c>
      <c r="F121" s="7" t="s">
        <v>128</v>
      </c>
      <c r="G121" s="114" t="s">
        <v>191</v>
      </c>
      <c r="H121" s="7" t="s">
        <v>14</v>
      </c>
      <c r="I121" s="64"/>
      <c r="J121" s="119">
        <v>30</v>
      </c>
      <c r="K121" s="138">
        <v>2465868</v>
      </c>
      <c r="L121" s="139">
        <v>2557954.36</v>
      </c>
      <c r="M121" s="140">
        <f t="shared" si="37"/>
        <v>255795.43599999999</v>
      </c>
      <c r="N121" s="140">
        <f t="shared" si="38"/>
        <v>48601.132839999998</v>
      </c>
      <c r="O121" s="140">
        <f t="shared" si="39"/>
        <v>2862350.9288400002</v>
      </c>
      <c r="P121" s="140">
        <f t="shared" si="26"/>
        <v>2862351</v>
      </c>
      <c r="Q121" s="141"/>
      <c r="R121" s="150">
        <v>1300000</v>
      </c>
      <c r="S121" s="150">
        <v>1358000</v>
      </c>
      <c r="T121" s="111" t="s">
        <v>844</v>
      </c>
      <c r="U121" s="140">
        <f t="shared" si="27"/>
        <v>2557954</v>
      </c>
      <c r="V121" s="188">
        <f t="shared" si="28"/>
        <v>255795.40000000002</v>
      </c>
      <c r="W121" s="188">
        <f t="shared" si="29"/>
        <v>48601.126000000004</v>
      </c>
      <c r="X121" s="188">
        <f t="shared" si="30"/>
        <v>2862351</v>
      </c>
      <c r="Y121" s="188">
        <f t="shared" si="31"/>
        <v>0</v>
      </c>
    </row>
    <row r="122" spans="1:25" ht="15.6" customHeight="1">
      <c r="A122" s="115" t="s">
        <v>662</v>
      </c>
      <c r="B122" s="119">
        <v>39582655</v>
      </c>
      <c r="C122" s="7" t="s">
        <v>330</v>
      </c>
      <c r="D122" s="7" t="s">
        <v>331</v>
      </c>
      <c r="E122" s="7" t="s">
        <v>60</v>
      </c>
      <c r="F122" s="7" t="s">
        <v>146</v>
      </c>
      <c r="G122" s="114" t="s">
        <v>191</v>
      </c>
      <c r="H122" s="7" t="s">
        <v>14</v>
      </c>
      <c r="I122" s="64"/>
      <c r="J122" s="119">
        <v>30</v>
      </c>
      <c r="K122" s="138">
        <v>2465868</v>
      </c>
      <c r="L122" s="139">
        <v>2557954.36</v>
      </c>
      <c r="M122" s="140">
        <f t="shared" si="37"/>
        <v>255795.43599999999</v>
      </c>
      <c r="N122" s="140">
        <f t="shared" si="38"/>
        <v>48601.132839999998</v>
      </c>
      <c r="O122" s="140">
        <f t="shared" si="39"/>
        <v>2862350.9288400002</v>
      </c>
      <c r="P122" s="140">
        <f t="shared" ref="P122:P183" si="40">+ROUND(((O122/30)*J122),0)</f>
        <v>2862351</v>
      </c>
      <c r="Q122" s="141"/>
      <c r="R122" s="150">
        <v>1300000</v>
      </c>
      <c r="S122" s="150">
        <v>1358000</v>
      </c>
      <c r="T122" s="111" t="s">
        <v>841</v>
      </c>
      <c r="U122" s="140">
        <f t="shared" si="27"/>
        <v>2557954</v>
      </c>
      <c r="V122" s="188">
        <f t="shared" si="28"/>
        <v>255795.40000000002</v>
      </c>
      <c r="W122" s="188">
        <f t="shared" si="29"/>
        <v>48601.126000000004</v>
      </c>
      <c r="X122" s="188">
        <f t="shared" si="30"/>
        <v>2862351</v>
      </c>
      <c r="Y122" s="188">
        <f t="shared" si="31"/>
        <v>0</v>
      </c>
    </row>
    <row r="123" spans="1:25" ht="15.6" customHeight="1">
      <c r="A123" s="115" t="s">
        <v>662</v>
      </c>
      <c r="B123" s="119">
        <v>52554338</v>
      </c>
      <c r="C123" s="7" t="s">
        <v>154</v>
      </c>
      <c r="D123" s="7" t="s">
        <v>155</v>
      </c>
      <c r="E123" s="7" t="s">
        <v>156</v>
      </c>
      <c r="F123" s="7" t="s">
        <v>128</v>
      </c>
      <c r="G123" s="114" t="s">
        <v>45</v>
      </c>
      <c r="H123" s="7" t="s">
        <v>14</v>
      </c>
      <c r="I123" s="64"/>
      <c r="J123" s="119">
        <v>30</v>
      </c>
      <c r="K123" s="138">
        <v>2465868</v>
      </c>
      <c r="L123" s="139">
        <v>2557954.36</v>
      </c>
      <c r="M123" s="140">
        <f t="shared" si="37"/>
        <v>255795.43599999999</v>
      </c>
      <c r="N123" s="140">
        <f t="shared" si="38"/>
        <v>48601.132839999998</v>
      </c>
      <c r="O123" s="140">
        <f t="shared" si="39"/>
        <v>2862350.9288400002</v>
      </c>
      <c r="P123" s="140">
        <f t="shared" si="40"/>
        <v>2862351</v>
      </c>
      <c r="Q123" s="141"/>
      <c r="R123" s="142">
        <v>1401000</v>
      </c>
      <c r="S123" s="150">
        <v>1680920</v>
      </c>
      <c r="T123" s="111" t="s">
        <v>852</v>
      </c>
      <c r="U123" s="140">
        <f t="shared" ref="U123:U184" si="41">+ROUND(((L123/30)*J123),0)</f>
        <v>2557954</v>
      </c>
      <c r="V123" s="188">
        <f t="shared" si="28"/>
        <v>255795.40000000002</v>
      </c>
      <c r="W123" s="188">
        <f t="shared" si="29"/>
        <v>48601.126000000004</v>
      </c>
      <c r="X123" s="188">
        <f t="shared" si="30"/>
        <v>2862351</v>
      </c>
      <c r="Y123" s="188">
        <f t="shared" si="31"/>
        <v>0</v>
      </c>
    </row>
    <row r="124" spans="1:25" ht="15.6" customHeight="1">
      <c r="A124" s="115" t="s">
        <v>662</v>
      </c>
      <c r="B124" s="119">
        <v>52937650</v>
      </c>
      <c r="C124" s="7" t="s">
        <v>296</v>
      </c>
      <c r="D124" s="7" t="s">
        <v>296</v>
      </c>
      <c r="E124" s="7" t="s">
        <v>299</v>
      </c>
      <c r="F124" s="7" t="s">
        <v>300</v>
      </c>
      <c r="G124" s="114" t="s">
        <v>191</v>
      </c>
      <c r="H124" s="7" t="s">
        <v>14</v>
      </c>
      <c r="I124" s="64"/>
      <c r="J124" s="119">
        <v>30</v>
      </c>
      <c r="K124" s="138">
        <v>2465868</v>
      </c>
      <c r="L124" s="139">
        <v>2557954.36</v>
      </c>
      <c r="M124" s="140">
        <f t="shared" si="37"/>
        <v>255795.43599999999</v>
      </c>
      <c r="N124" s="140">
        <f t="shared" si="38"/>
        <v>48601.132839999998</v>
      </c>
      <c r="O124" s="140">
        <f t="shared" si="39"/>
        <v>2862350.9288400002</v>
      </c>
      <c r="P124" s="140">
        <f t="shared" si="40"/>
        <v>2862351</v>
      </c>
      <c r="Q124" s="141"/>
      <c r="R124" s="150">
        <v>1300000</v>
      </c>
      <c r="S124" s="150">
        <v>1358000</v>
      </c>
      <c r="T124" s="111" t="s">
        <v>841</v>
      </c>
      <c r="U124" s="140">
        <f t="shared" si="41"/>
        <v>2557954</v>
      </c>
      <c r="V124" s="188">
        <f t="shared" si="28"/>
        <v>255795.40000000002</v>
      </c>
      <c r="W124" s="188">
        <f t="shared" si="29"/>
        <v>48601.126000000004</v>
      </c>
      <c r="X124" s="188">
        <f t="shared" si="30"/>
        <v>2862351</v>
      </c>
      <c r="Y124" s="188">
        <f t="shared" si="31"/>
        <v>0</v>
      </c>
    </row>
    <row r="125" spans="1:25" ht="15.6" customHeight="1">
      <c r="A125" s="115" t="s">
        <v>662</v>
      </c>
      <c r="B125" s="119">
        <v>79597465</v>
      </c>
      <c r="C125" s="7" t="s">
        <v>242</v>
      </c>
      <c r="D125" s="7" t="s">
        <v>243</v>
      </c>
      <c r="E125" s="7" t="s">
        <v>164</v>
      </c>
      <c r="F125" s="7" t="s">
        <v>244</v>
      </c>
      <c r="G125" s="114" t="s">
        <v>13</v>
      </c>
      <c r="H125" s="7" t="s">
        <v>14</v>
      </c>
      <c r="I125" s="64"/>
      <c r="J125" s="119">
        <v>30</v>
      </c>
      <c r="K125" s="138">
        <v>2465868</v>
      </c>
      <c r="L125" s="139">
        <v>2557954.36</v>
      </c>
      <c r="M125" s="140">
        <f t="shared" ref="M125:M155" si="42">+L125*10%</f>
        <v>255795.43599999999</v>
      </c>
      <c r="N125" s="140">
        <f t="shared" ref="N125:N155" si="43">+M125*19%</f>
        <v>48601.132839999998</v>
      </c>
      <c r="O125" s="140">
        <f t="shared" ref="O125:O155" si="44">+L125+M125+N125</f>
        <v>2862350.9288400002</v>
      </c>
      <c r="P125" s="140">
        <f t="shared" si="40"/>
        <v>2862351</v>
      </c>
      <c r="Q125" s="141"/>
      <c r="R125" s="144">
        <v>1390000</v>
      </c>
      <c r="S125" s="150">
        <v>1440800</v>
      </c>
      <c r="T125" s="111" t="s">
        <v>841</v>
      </c>
      <c r="U125" s="140">
        <f t="shared" si="41"/>
        <v>2557954</v>
      </c>
      <c r="V125" s="188">
        <f t="shared" ref="V125:V185" si="45">+U125*10%</f>
        <v>255795.40000000002</v>
      </c>
      <c r="W125" s="188">
        <f t="shared" ref="W125:W185" si="46">+V125*19%</f>
        <v>48601.126000000004</v>
      </c>
      <c r="X125" s="188">
        <f t="shared" ref="X125:X185" si="47">+ROUND((U125+V125+W125),0)</f>
        <v>2862351</v>
      </c>
      <c r="Y125" s="188">
        <f t="shared" ref="Y125:Y185" si="48">+X125-P125</f>
        <v>0</v>
      </c>
    </row>
    <row r="126" spans="1:25" ht="15.6" customHeight="1">
      <c r="A126" s="115" t="s">
        <v>662</v>
      </c>
      <c r="B126" s="119">
        <v>1002269813</v>
      </c>
      <c r="C126" s="7" t="s">
        <v>15</v>
      </c>
      <c r="D126" s="7" t="s">
        <v>22</v>
      </c>
      <c r="E126" s="7" t="s">
        <v>23</v>
      </c>
      <c r="F126" s="7" t="s">
        <v>24</v>
      </c>
      <c r="G126" s="114" t="s">
        <v>191</v>
      </c>
      <c r="H126" s="7" t="s">
        <v>14</v>
      </c>
      <c r="I126" s="64"/>
      <c r="J126" s="119">
        <v>30</v>
      </c>
      <c r="K126" s="138">
        <v>2465868</v>
      </c>
      <c r="L126" s="139">
        <v>2557954.36</v>
      </c>
      <c r="M126" s="140">
        <f t="shared" si="42"/>
        <v>255795.43599999999</v>
      </c>
      <c r="N126" s="140">
        <f t="shared" si="43"/>
        <v>48601.132839999998</v>
      </c>
      <c r="O126" s="140">
        <f t="shared" si="44"/>
        <v>2862350.9288400002</v>
      </c>
      <c r="P126" s="140">
        <f t="shared" si="40"/>
        <v>2862351</v>
      </c>
      <c r="Q126" s="141"/>
      <c r="R126" s="150">
        <v>1300000</v>
      </c>
      <c r="S126" s="150">
        <v>1358000</v>
      </c>
      <c r="T126" s="111" t="s">
        <v>841</v>
      </c>
      <c r="U126" s="140">
        <f t="shared" si="41"/>
        <v>2557954</v>
      </c>
      <c r="V126" s="188">
        <f t="shared" si="45"/>
        <v>255795.40000000002</v>
      </c>
      <c r="W126" s="188">
        <f t="shared" si="46"/>
        <v>48601.126000000004</v>
      </c>
      <c r="X126" s="188">
        <f t="shared" si="47"/>
        <v>2862351</v>
      </c>
      <c r="Y126" s="188">
        <f t="shared" si="48"/>
        <v>0</v>
      </c>
    </row>
    <row r="127" spans="1:25" ht="15.6" customHeight="1">
      <c r="A127" s="115" t="s">
        <v>662</v>
      </c>
      <c r="B127" s="119">
        <v>1022985784</v>
      </c>
      <c r="C127" s="7" t="s">
        <v>245</v>
      </c>
      <c r="D127" s="7" t="s">
        <v>115</v>
      </c>
      <c r="E127" s="7" t="s">
        <v>246</v>
      </c>
      <c r="F127" s="7" t="s">
        <v>247</v>
      </c>
      <c r="G127" s="114" t="s">
        <v>13</v>
      </c>
      <c r="H127" s="7" t="s">
        <v>14</v>
      </c>
      <c r="I127" s="64"/>
      <c r="J127" s="119">
        <v>28</v>
      </c>
      <c r="K127" s="138">
        <v>2465868</v>
      </c>
      <c r="L127" s="139">
        <v>2557954.36</v>
      </c>
      <c r="M127" s="140">
        <f t="shared" si="42"/>
        <v>255795.43599999999</v>
      </c>
      <c r="N127" s="140">
        <f t="shared" si="43"/>
        <v>48601.132839999998</v>
      </c>
      <c r="O127" s="140">
        <f t="shared" si="44"/>
        <v>2862350.9288400002</v>
      </c>
      <c r="P127" s="140">
        <f t="shared" si="40"/>
        <v>2671528</v>
      </c>
      <c r="Q127" s="142" t="s">
        <v>833</v>
      </c>
      <c r="R127" s="143">
        <f>1297334+92667</f>
        <v>1390001</v>
      </c>
      <c r="S127" s="150">
        <v>1430000</v>
      </c>
      <c r="T127" s="111" t="s">
        <v>841</v>
      </c>
      <c r="U127" s="140">
        <f t="shared" si="41"/>
        <v>2387424</v>
      </c>
      <c r="V127" s="188">
        <f t="shared" si="45"/>
        <v>238742.40000000002</v>
      </c>
      <c r="W127" s="188">
        <f t="shared" si="46"/>
        <v>45361.056000000004</v>
      </c>
      <c r="X127" s="188">
        <f t="shared" si="47"/>
        <v>2671527</v>
      </c>
      <c r="Y127" s="188">
        <f t="shared" si="48"/>
        <v>-1</v>
      </c>
    </row>
    <row r="128" spans="1:25" ht="15.6" customHeight="1">
      <c r="A128" s="115" t="s">
        <v>662</v>
      </c>
      <c r="B128" s="119">
        <v>1024500166</v>
      </c>
      <c r="C128" s="7" t="s">
        <v>388</v>
      </c>
      <c r="D128" s="7" t="s">
        <v>52</v>
      </c>
      <c r="E128" s="7" t="s">
        <v>47</v>
      </c>
      <c r="F128" s="7" t="s">
        <v>389</v>
      </c>
      <c r="G128" s="114" t="s">
        <v>191</v>
      </c>
      <c r="H128" s="7" t="s">
        <v>14</v>
      </c>
      <c r="I128" s="64"/>
      <c r="J128" s="119">
        <v>30</v>
      </c>
      <c r="K128" s="138">
        <v>2465868</v>
      </c>
      <c r="L128" s="139">
        <v>2557954.36</v>
      </c>
      <c r="M128" s="140">
        <f t="shared" si="42"/>
        <v>255795.43599999999</v>
      </c>
      <c r="N128" s="140">
        <f t="shared" si="43"/>
        <v>48601.132839999998</v>
      </c>
      <c r="O128" s="140">
        <f t="shared" si="44"/>
        <v>2862350.9288400002</v>
      </c>
      <c r="P128" s="140">
        <f t="shared" si="40"/>
        <v>2862351</v>
      </c>
      <c r="Q128" s="141"/>
      <c r="R128" s="150">
        <v>1300000</v>
      </c>
      <c r="S128" s="150">
        <v>1358000</v>
      </c>
      <c r="T128" s="8" t="s">
        <v>841</v>
      </c>
      <c r="U128" s="140">
        <f t="shared" si="41"/>
        <v>2557954</v>
      </c>
      <c r="V128" s="188">
        <f t="shared" si="45"/>
        <v>255795.40000000002</v>
      </c>
      <c r="W128" s="188">
        <f t="shared" si="46"/>
        <v>48601.126000000004</v>
      </c>
      <c r="X128" s="188">
        <f t="shared" si="47"/>
        <v>2862351</v>
      </c>
      <c r="Y128" s="188">
        <f t="shared" si="48"/>
        <v>0</v>
      </c>
    </row>
    <row r="129" spans="1:25" ht="15.6" customHeight="1">
      <c r="A129" s="115" t="s">
        <v>662</v>
      </c>
      <c r="B129" s="119">
        <v>1024549825</v>
      </c>
      <c r="C129" s="7" t="s">
        <v>266</v>
      </c>
      <c r="D129" s="7" t="s">
        <v>65</v>
      </c>
      <c r="E129" s="7" t="s">
        <v>112</v>
      </c>
      <c r="F129" s="7" t="s">
        <v>322</v>
      </c>
      <c r="G129" s="114" t="s">
        <v>191</v>
      </c>
      <c r="H129" s="7" t="s">
        <v>354</v>
      </c>
      <c r="I129" s="64"/>
      <c r="J129" s="119">
        <v>28</v>
      </c>
      <c r="K129" s="138">
        <v>2465868</v>
      </c>
      <c r="L129" s="139">
        <v>2557954.36</v>
      </c>
      <c r="M129" s="140">
        <f t="shared" si="42"/>
        <v>255795.43599999999</v>
      </c>
      <c r="N129" s="140">
        <f t="shared" si="43"/>
        <v>48601.132839999998</v>
      </c>
      <c r="O129" s="140">
        <f t="shared" si="44"/>
        <v>2862350.9288400002</v>
      </c>
      <c r="P129" s="140">
        <f t="shared" si="40"/>
        <v>2671528</v>
      </c>
      <c r="Q129" s="142" t="s">
        <v>834</v>
      </c>
      <c r="R129" s="149">
        <f>1213334+86667</f>
        <v>1300001</v>
      </c>
      <c r="S129" s="142">
        <v>1347200</v>
      </c>
      <c r="T129" s="111" t="s">
        <v>841</v>
      </c>
      <c r="U129" s="140">
        <f t="shared" si="41"/>
        <v>2387424</v>
      </c>
      <c r="V129" s="188">
        <f t="shared" si="45"/>
        <v>238742.40000000002</v>
      </c>
      <c r="W129" s="188">
        <f t="shared" si="46"/>
        <v>45361.056000000004</v>
      </c>
      <c r="X129" s="188">
        <f t="shared" si="47"/>
        <v>2671527</v>
      </c>
      <c r="Y129" s="188">
        <f t="shared" si="48"/>
        <v>-1</v>
      </c>
    </row>
    <row r="130" spans="1:25" ht="15.6" customHeight="1">
      <c r="A130" s="115" t="s">
        <v>662</v>
      </c>
      <c r="B130" s="119">
        <v>1026256911</v>
      </c>
      <c r="C130" s="7" t="s">
        <v>157</v>
      </c>
      <c r="D130" s="7" t="s">
        <v>158</v>
      </c>
      <c r="E130" s="7" t="s">
        <v>159</v>
      </c>
      <c r="F130" s="7" t="s">
        <v>160</v>
      </c>
      <c r="G130" s="114" t="s">
        <v>191</v>
      </c>
      <c r="H130" s="7" t="s">
        <v>14</v>
      </c>
      <c r="I130" s="64"/>
      <c r="J130" s="119">
        <v>30</v>
      </c>
      <c r="K130" s="138">
        <v>2465868</v>
      </c>
      <c r="L130" s="139">
        <v>2557954.36</v>
      </c>
      <c r="M130" s="140">
        <f t="shared" si="42"/>
        <v>255795.43599999999</v>
      </c>
      <c r="N130" s="140">
        <f t="shared" si="43"/>
        <v>48601.132839999998</v>
      </c>
      <c r="O130" s="140">
        <f t="shared" si="44"/>
        <v>2862350.9288400002</v>
      </c>
      <c r="P130" s="140">
        <f t="shared" si="40"/>
        <v>2862351</v>
      </c>
      <c r="Q130" s="141"/>
      <c r="R130" s="150">
        <v>1300000</v>
      </c>
      <c r="S130" s="150">
        <v>1358000</v>
      </c>
      <c r="T130" s="111" t="s">
        <v>841</v>
      </c>
      <c r="U130" s="140">
        <f t="shared" si="41"/>
        <v>2557954</v>
      </c>
      <c r="V130" s="188">
        <f t="shared" si="45"/>
        <v>255795.40000000002</v>
      </c>
      <c r="W130" s="188">
        <f t="shared" si="46"/>
        <v>48601.126000000004</v>
      </c>
      <c r="X130" s="188">
        <f t="shared" si="47"/>
        <v>2862351</v>
      </c>
      <c r="Y130" s="188">
        <f t="shared" si="48"/>
        <v>0</v>
      </c>
    </row>
    <row r="131" spans="1:25" ht="15.6" customHeight="1">
      <c r="A131" s="115" t="s">
        <v>662</v>
      </c>
      <c r="B131" s="119">
        <v>1031120358</v>
      </c>
      <c r="C131" s="7" t="s">
        <v>378</v>
      </c>
      <c r="D131" s="7" t="s">
        <v>256</v>
      </c>
      <c r="E131" s="7" t="s">
        <v>387</v>
      </c>
      <c r="F131" s="7" t="s">
        <v>322</v>
      </c>
      <c r="G131" s="114" t="s">
        <v>191</v>
      </c>
      <c r="H131" s="7" t="s">
        <v>14</v>
      </c>
      <c r="I131" s="64"/>
      <c r="J131" s="119">
        <v>30</v>
      </c>
      <c r="K131" s="138">
        <v>2465868</v>
      </c>
      <c r="L131" s="139">
        <v>2557954.36</v>
      </c>
      <c r="M131" s="140">
        <f t="shared" si="42"/>
        <v>255795.43599999999</v>
      </c>
      <c r="N131" s="140">
        <f t="shared" si="43"/>
        <v>48601.132839999998</v>
      </c>
      <c r="O131" s="140">
        <f t="shared" si="44"/>
        <v>2862350.9288400002</v>
      </c>
      <c r="P131" s="140">
        <f t="shared" si="40"/>
        <v>2862351</v>
      </c>
      <c r="Q131" s="141"/>
      <c r="R131" s="150">
        <v>1300000</v>
      </c>
      <c r="S131" s="150">
        <v>1358000</v>
      </c>
      <c r="T131" s="111" t="s">
        <v>841</v>
      </c>
      <c r="U131" s="140">
        <f t="shared" si="41"/>
        <v>2557954</v>
      </c>
      <c r="V131" s="188">
        <f t="shared" si="45"/>
        <v>255795.40000000002</v>
      </c>
      <c r="W131" s="188">
        <f t="shared" si="46"/>
        <v>48601.126000000004</v>
      </c>
      <c r="X131" s="188">
        <f t="shared" si="47"/>
        <v>2862351</v>
      </c>
      <c r="Y131" s="188">
        <f t="shared" si="48"/>
        <v>0</v>
      </c>
    </row>
    <row r="132" spans="1:25" ht="15.6" customHeight="1">
      <c r="A132" s="115" t="s">
        <v>663</v>
      </c>
      <c r="B132" s="119">
        <v>19406447</v>
      </c>
      <c r="C132" s="7" t="s">
        <v>192</v>
      </c>
      <c r="D132" s="7" t="s">
        <v>114</v>
      </c>
      <c r="E132" s="7" t="s">
        <v>193</v>
      </c>
      <c r="F132" s="7"/>
      <c r="G132" s="114" t="s">
        <v>45</v>
      </c>
      <c r="H132" s="7" t="s">
        <v>14</v>
      </c>
      <c r="I132" s="64"/>
      <c r="J132" s="119">
        <v>30</v>
      </c>
      <c r="K132" s="138">
        <v>2465868</v>
      </c>
      <c r="L132" s="139">
        <v>2557954.36</v>
      </c>
      <c r="M132" s="140">
        <f t="shared" si="42"/>
        <v>255795.43599999999</v>
      </c>
      <c r="N132" s="140">
        <f t="shared" si="43"/>
        <v>48601.132839999998</v>
      </c>
      <c r="O132" s="140">
        <f t="shared" si="44"/>
        <v>2862350.9288400002</v>
      </c>
      <c r="P132" s="140">
        <f t="shared" si="40"/>
        <v>2862351</v>
      </c>
      <c r="Q132" s="141"/>
      <c r="R132" s="142">
        <v>1401000</v>
      </c>
      <c r="S132" s="150">
        <v>1680920</v>
      </c>
      <c r="T132" s="111" t="s">
        <v>841</v>
      </c>
      <c r="U132" s="140">
        <f t="shared" si="41"/>
        <v>2557954</v>
      </c>
      <c r="V132" s="188">
        <f t="shared" si="45"/>
        <v>255795.40000000002</v>
      </c>
      <c r="W132" s="188">
        <f t="shared" si="46"/>
        <v>48601.126000000004</v>
      </c>
      <c r="X132" s="188">
        <f t="shared" si="47"/>
        <v>2862351</v>
      </c>
      <c r="Y132" s="188">
        <f t="shared" si="48"/>
        <v>0</v>
      </c>
    </row>
    <row r="133" spans="1:25" ht="15.6" customHeight="1">
      <c r="A133" s="115" t="s">
        <v>663</v>
      </c>
      <c r="B133" s="119">
        <v>21147562</v>
      </c>
      <c r="C133" s="7" t="s">
        <v>35</v>
      </c>
      <c r="D133" s="7" t="s">
        <v>291</v>
      </c>
      <c r="E133" s="7" t="s">
        <v>409</v>
      </c>
      <c r="F133" s="7"/>
      <c r="G133" s="114" t="s">
        <v>191</v>
      </c>
      <c r="H133" s="7" t="s">
        <v>393</v>
      </c>
      <c r="I133" s="64"/>
      <c r="J133" s="119">
        <v>30</v>
      </c>
      <c r="K133" s="138">
        <v>2465868</v>
      </c>
      <c r="L133" s="139">
        <v>2557954.36</v>
      </c>
      <c r="M133" s="140">
        <f t="shared" si="42"/>
        <v>255795.43599999999</v>
      </c>
      <c r="N133" s="140">
        <f t="shared" si="43"/>
        <v>48601.132839999998</v>
      </c>
      <c r="O133" s="140">
        <f t="shared" si="44"/>
        <v>2862350.9288400002</v>
      </c>
      <c r="P133" s="140">
        <f t="shared" si="40"/>
        <v>2862351</v>
      </c>
      <c r="Q133" s="141"/>
      <c r="R133" s="150">
        <v>1300000</v>
      </c>
      <c r="S133" s="150">
        <v>1358000</v>
      </c>
      <c r="T133" s="111" t="s">
        <v>857</v>
      </c>
      <c r="U133" s="140">
        <f t="shared" si="41"/>
        <v>2557954</v>
      </c>
      <c r="V133" s="188">
        <f t="shared" si="45"/>
        <v>255795.40000000002</v>
      </c>
      <c r="W133" s="188">
        <f t="shared" si="46"/>
        <v>48601.126000000004</v>
      </c>
      <c r="X133" s="188">
        <f t="shared" si="47"/>
        <v>2862351</v>
      </c>
      <c r="Y133" s="188">
        <f t="shared" si="48"/>
        <v>0</v>
      </c>
    </row>
    <row r="134" spans="1:25" ht="15.6" customHeight="1">
      <c r="A134" s="115" t="s">
        <v>663</v>
      </c>
      <c r="B134" s="119">
        <v>52286356</v>
      </c>
      <c r="C134" s="7" t="s">
        <v>415</v>
      </c>
      <c r="D134" s="7" t="s">
        <v>263</v>
      </c>
      <c r="E134" s="7" t="s">
        <v>416</v>
      </c>
      <c r="F134" s="7"/>
      <c r="G134" s="114" t="s">
        <v>191</v>
      </c>
      <c r="H134" s="7" t="s">
        <v>411</v>
      </c>
      <c r="I134" s="64"/>
      <c r="J134" s="119">
        <v>30</v>
      </c>
      <c r="K134" s="138">
        <v>2465868</v>
      </c>
      <c r="L134" s="139">
        <v>2557954.36</v>
      </c>
      <c r="M134" s="140">
        <f t="shared" si="42"/>
        <v>255795.43599999999</v>
      </c>
      <c r="N134" s="140">
        <f t="shared" si="43"/>
        <v>48601.132839999998</v>
      </c>
      <c r="O134" s="140">
        <f t="shared" si="44"/>
        <v>2862350.9288400002</v>
      </c>
      <c r="P134" s="140">
        <f t="shared" si="40"/>
        <v>2862351</v>
      </c>
      <c r="Q134" s="141"/>
      <c r="R134" s="150">
        <v>1300000</v>
      </c>
      <c r="S134" s="142">
        <v>1358000</v>
      </c>
      <c r="T134" s="111" t="s">
        <v>841</v>
      </c>
      <c r="U134" s="140">
        <f t="shared" si="41"/>
        <v>2557954</v>
      </c>
      <c r="V134" s="188">
        <f t="shared" si="45"/>
        <v>255795.40000000002</v>
      </c>
      <c r="W134" s="188">
        <f t="shared" si="46"/>
        <v>48601.126000000004</v>
      </c>
      <c r="X134" s="188">
        <f t="shared" si="47"/>
        <v>2862351</v>
      </c>
      <c r="Y134" s="188">
        <f t="shared" si="48"/>
        <v>0</v>
      </c>
    </row>
    <row r="135" spans="1:25" ht="15.6" customHeight="1">
      <c r="A135" s="115" t="s">
        <v>663</v>
      </c>
      <c r="B135" s="119">
        <v>52801072</v>
      </c>
      <c r="C135" s="7" t="s">
        <v>212</v>
      </c>
      <c r="D135" s="7" t="s">
        <v>696</v>
      </c>
      <c r="E135" s="7" t="s">
        <v>127</v>
      </c>
      <c r="F135" s="7" t="s">
        <v>697</v>
      </c>
      <c r="G135" s="114" t="s">
        <v>191</v>
      </c>
      <c r="H135" s="64">
        <v>45407</v>
      </c>
      <c r="I135" s="64"/>
      <c r="J135" s="119">
        <v>30</v>
      </c>
      <c r="K135" s="138">
        <v>2465868</v>
      </c>
      <c r="L135" s="139">
        <v>2557954.36</v>
      </c>
      <c r="M135" s="140">
        <f t="shared" si="42"/>
        <v>255795.43599999999</v>
      </c>
      <c r="N135" s="140">
        <f t="shared" si="43"/>
        <v>48601.132839999998</v>
      </c>
      <c r="O135" s="140">
        <f t="shared" si="44"/>
        <v>2862350.9288400002</v>
      </c>
      <c r="P135" s="140">
        <f t="shared" si="40"/>
        <v>2862351</v>
      </c>
      <c r="Q135" s="141"/>
      <c r="R135" s="150">
        <v>1300000</v>
      </c>
      <c r="S135" s="150">
        <v>1358000</v>
      </c>
      <c r="T135" s="111" t="s">
        <v>844</v>
      </c>
      <c r="U135" s="140">
        <f t="shared" si="41"/>
        <v>2557954</v>
      </c>
      <c r="V135" s="188">
        <f t="shared" si="45"/>
        <v>255795.40000000002</v>
      </c>
      <c r="W135" s="188">
        <f t="shared" si="46"/>
        <v>48601.126000000004</v>
      </c>
      <c r="X135" s="188">
        <f t="shared" si="47"/>
        <v>2862351</v>
      </c>
      <c r="Y135" s="188">
        <f t="shared" si="48"/>
        <v>0</v>
      </c>
    </row>
    <row r="136" spans="1:25" ht="15.6" customHeight="1">
      <c r="A136" s="115" t="s">
        <v>663</v>
      </c>
      <c r="B136" s="119">
        <v>52822662</v>
      </c>
      <c r="C136" s="7" t="s">
        <v>212</v>
      </c>
      <c r="D136" s="7" t="s">
        <v>257</v>
      </c>
      <c r="E136" s="7" t="s">
        <v>105</v>
      </c>
      <c r="F136" s="7" t="s">
        <v>417</v>
      </c>
      <c r="G136" s="114" t="s">
        <v>191</v>
      </c>
      <c r="H136" s="7" t="s">
        <v>411</v>
      </c>
      <c r="I136" s="64"/>
      <c r="J136" s="119">
        <v>30</v>
      </c>
      <c r="K136" s="138">
        <v>2465868</v>
      </c>
      <c r="L136" s="139">
        <v>2557954.36</v>
      </c>
      <c r="M136" s="140">
        <f t="shared" si="42"/>
        <v>255795.43599999999</v>
      </c>
      <c r="N136" s="140">
        <f t="shared" si="43"/>
        <v>48601.132839999998</v>
      </c>
      <c r="O136" s="140">
        <f t="shared" si="44"/>
        <v>2862350.9288400002</v>
      </c>
      <c r="P136" s="140">
        <f t="shared" si="40"/>
        <v>2862351</v>
      </c>
      <c r="Q136" s="141"/>
      <c r="R136" s="150">
        <v>1300000</v>
      </c>
      <c r="S136" s="150">
        <v>1358000</v>
      </c>
      <c r="T136" s="111" t="s">
        <v>852</v>
      </c>
      <c r="U136" s="140">
        <f t="shared" si="41"/>
        <v>2557954</v>
      </c>
      <c r="V136" s="188">
        <f t="shared" si="45"/>
        <v>255795.40000000002</v>
      </c>
      <c r="W136" s="188">
        <f t="shared" si="46"/>
        <v>48601.126000000004</v>
      </c>
      <c r="X136" s="188">
        <f t="shared" si="47"/>
        <v>2862351</v>
      </c>
      <c r="Y136" s="188">
        <f t="shared" si="48"/>
        <v>0</v>
      </c>
    </row>
    <row r="137" spans="1:25" ht="15.6" customHeight="1">
      <c r="A137" s="115" t="s">
        <v>663</v>
      </c>
      <c r="B137" s="119">
        <v>79633497</v>
      </c>
      <c r="C137" s="7" t="s">
        <v>273</v>
      </c>
      <c r="D137" s="7" t="s">
        <v>163</v>
      </c>
      <c r="E137" s="7" t="s">
        <v>164</v>
      </c>
      <c r="F137" s="7" t="s">
        <v>324</v>
      </c>
      <c r="G137" s="114" t="s">
        <v>13</v>
      </c>
      <c r="H137" s="7" t="s">
        <v>14</v>
      </c>
      <c r="I137" s="64"/>
      <c r="J137" s="119">
        <v>30</v>
      </c>
      <c r="K137" s="138">
        <v>2465868</v>
      </c>
      <c r="L137" s="139">
        <v>2557954.36</v>
      </c>
      <c r="M137" s="140">
        <f t="shared" si="42"/>
        <v>255795.43599999999</v>
      </c>
      <c r="N137" s="140">
        <f t="shared" si="43"/>
        <v>48601.132839999998</v>
      </c>
      <c r="O137" s="140">
        <f t="shared" si="44"/>
        <v>2862350.9288400002</v>
      </c>
      <c r="P137" s="140">
        <f t="shared" si="40"/>
        <v>2862351</v>
      </c>
      <c r="Q137" s="141"/>
      <c r="R137" s="144">
        <v>1390000</v>
      </c>
      <c r="S137" s="150">
        <v>1440800</v>
      </c>
      <c r="T137" s="111" t="s">
        <v>852</v>
      </c>
      <c r="U137" s="140">
        <f t="shared" si="41"/>
        <v>2557954</v>
      </c>
      <c r="V137" s="188">
        <f t="shared" si="45"/>
        <v>255795.40000000002</v>
      </c>
      <c r="W137" s="188">
        <f t="shared" si="46"/>
        <v>48601.126000000004</v>
      </c>
      <c r="X137" s="188">
        <f t="shared" si="47"/>
        <v>2862351</v>
      </c>
      <c r="Y137" s="188">
        <f t="shared" si="48"/>
        <v>0</v>
      </c>
    </row>
    <row r="138" spans="1:25" ht="15.6" customHeight="1">
      <c r="A138" s="115" t="s">
        <v>663</v>
      </c>
      <c r="B138" s="119">
        <v>1019060189</v>
      </c>
      <c r="C138" s="7" t="s">
        <v>181</v>
      </c>
      <c r="D138" s="7" t="s">
        <v>182</v>
      </c>
      <c r="E138" s="7" t="s">
        <v>53</v>
      </c>
      <c r="F138" s="7" t="s">
        <v>183</v>
      </c>
      <c r="G138" s="114" t="s">
        <v>191</v>
      </c>
      <c r="H138" s="7" t="s">
        <v>14</v>
      </c>
      <c r="I138" s="64"/>
      <c r="J138" s="119">
        <v>30</v>
      </c>
      <c r="K138" s="138">
        <v>2465868</v>
      </c>
      <c r="L138" s="139">
        <v>2557954.36</v>
      </c>
      <c r="M138" s="140">
        <f t="shared" si="42"/>
        <v>255795.43599999999</v>
      </c>
      <c r="N138" s="140">
        <f t="shared" si="43"/>
        <v>48601.132839999998</v>
      </c>
      <c r="O138" s="140">
        <f t="shared" si="44"/>
        <v>2862350.9288400002</v>
      </c>
      <c r="P138" s="140">
        <f t="shared" si="40"/>
        <v>2862351</v>
      </c>
      <c r="Q138" s="141"/>
      <c r="R138" s="150">
        <v>1300000</v>
      </c>
      <c r="S138" s="142">
        <v>1358000</v>
      </c>
      <c r="T138" s="111" t="s">
        <v>844</v>
      </c>
      <c r="U138" s="140">
        <f t="shared" si="41"/>
        <v>2557954</v>
      </c>
      <c r="V138" s="188">
        <f t="shared" si="45"/>
        <v>255795.40000000002</v>
      </c>
      <c r="W138" s="188">
        <f t="shared" si="46"/>
        <v>48601.126000000004</v>
      </c>
      <c r="X138" s="188">
        <f t="shared" si="47"/>
        <v>2862351</v>
      </c>
      <c r="Y138" s="188">
        <f t="shared" si="48"/>
        <v>0</v>
      </c>
    </row>
    <row r="139" spans="1:25" ht="15.6" customHeight="1">
      <c r="A139" s="115" t="s">
        <v>663</v>
      </c>
      <c r="B139" s="119">
        <v>1020805845</v>
      </c>
      <c r="C139" s="7" t="s">
        <v>168</v>
      </c>
      <c r="D139" s="7" t="s">
        <v>212</v>
      </c>
      <c r="E139" s="7" t="s">
        <v>402</v>
      </c>
      <c r="F139" s="7" t="s">
        <v>187</v>
      </c>
      <c r="G139" s="114" t="s">
        <v>13</v>
      </c>
      <c r="H139" s="7" t="s">
        <v>393</v>
      </c>
      <c r="I139" s="64"/>
      <c r="J139" s="119">
        <v>30</v>
      </c>
      <c r="K139" s="138">
        <v>2465868</v>
      </c>
      <c r="L139" s="139">
        <v>2557954.36</v>
      </c>
      <c r="M139" s="140">
        <f t="shared" si="42"/>
        <v>255795.43599999999</v>
      </c>
      <c r="N139" s="140">
        <f t="shared" si="43"/>
        <v>48601.132839999998</v>
      </c>
      <c r="O139" s="140">
        <f t="shared" si="44"/>
        <v>2862350.9288400002</v>
      </c>
      <c r="P139" s="140">
        <f t="shared" si="40"/>
        <v>2862351</v>
      </c>
      <c r="Q139" s="141"/>
      <c r="R139" s="144">
        <v>1390000</v>
      </c>
      <c r="S139" s="150">
        <v>1440800</v>
      </c>
      <c r="T139" s="111" t="s">
        <v>841</v>
      </c>
      <c r="U139" s="140">
        <f t="shared" si="41"/>
        <v>2557954</v>
      </c>
      <c r="V139" s="188">
        <f t="shared" si="45"/>
        <v>255795.40000000002</v>
      </c>
      <c r="W139" s="188">
        <f t="shared" si="46"/>
        <v>48601.126000000004</v>
      </c>
      <c r="X139" s="188">
        <f t="shared" si="47"/>
        <v>2862351</v>
      </c>
      <c r="Y139" s="188">
        <f t="shared" si="48"/>
        <v>0</v>
      </c>
    </row>
    <row r="140" spans="1:25" ht="15.6" customHeight="1">
      <c r="A140" s="115" t="s">
        <v>663</v>
      </c>
      <c r="B140" s="119">
        <v>1020807133</v>
      </c>
      <c r="C140" s="7" t="s">
        <v>367</v>
      </c>
      <c r="D140" s="7" t="s">
        <v>200</v>
      </c>
      <c r="E140" s="7" t="s">
        <v>233</v>
      </c>
      <c r="F140" s="7" t="s">
        <v>369</v>
      </c>
      <c r="G140" s="114" t="s">
        <v>191</v>
      </c>
      <c r="H140" s="7" t="s">
        <v>354</v>
      </c>
      <c r="I140" s="64"/>
      <c r="J140" s="119">
        <v>30</v>
      </c>
      <c r="K140" s="138">
        <v>2465868</v>
      </c>
      <c r="L140" s="139">
        <v>2557954.36</v>
      </c>
      <c r="M140" s="140">
        <f t="shared" si="42"/>
        <v>255795.43599999999</v>
      </c>
      <c r="N140" s="140">
        <f t="shared" si="43"/>
        <v>48601.132839999998</v>
      </c>
      <c r="O140" s="140">
        <f t="shared" si="44"/>
        <v>2862350.9288400002</v>
      </c>
      <c r="P140" s="140">
        <f t="shared" si="40"/>
        <v>2862351</v>
      </c>
      <c r="Q140" s="141"/>
      <c r="R140" s="150">
        <v>1300000</v>
      </c>
      <c r="S140" s="142">
        <v>1358000</v>
      </c>
      <c r="T140" s="111" t="s">
        <v>852</v>
      </c>
      <c r="U140" s="140">
        <f t="shared" si="41"/>
        <v>2557954</v>
      </c>
      <c r="V140" s="188">
        <f t="shared" si="45"/>
        <v>255795.40000000002</v>
      </c>
      <c r="W140" s="188">
        <f t="shared" si="46"/>
        <v>48601.126000000004</v>
      </c>
      <c r="X140" s="188">
        <f t="shared" si="47"/>
        <v>2862351</v>
      </c>
      <c r="Y140" s="188">
        <f t="shared" si="48"/>
        <v>0</v>
      </c>
    </row>
    <row r="141" spans="1:25" ht="15.6" customHeight="1">
      <c r="A141" s="115" t="s">
        <v>663</v>
      </c>
      <c r="B141" s="119">
        <v>1022990341</v>
      </c>
      <c r="C141" s="7" t="s">
        <v>339</v>
      </c>
      <c r="D141" s="7" t="s">
        <v>28</v>
      </c>
      <c r="E141" s="7" t="s">
        <v>340</v>
      </c>
      <c r="F141" s="7" t="s">
        <v>341</v>
      </c>
      <c r="G141" s="114" t="s">
        <v>191</v>
      </c>
      <c r="H141" s="7" t="s">
        <v>14</v>
      </c>
      <c r="I141" s="64"/>
      <c r="J141" s="119">
        <v>30</v>
      </c>
      <c r="K141" s="138">
        <v>2465868</v>
      </c>
      <c r="L141" s="139">
        <v>2557954.36</v>
      </c>
      <c r="M141" s="140">
        <f t="shared" si="42"/>
        <v>255795.43599999999</v>
      </c>
      <c r="N141" s="140">
        <f t="shared" si="43"/>
        <v>48601.132839999998</v>
      </c>
      <c r="O141" s="140">
        <f t="shared" si="44"/>
        <v>2862350.9288400002</v>
      </c>
      <c r="P141" s="140">
        <f t="shared" si="40"/>
        <v>2862351</v>
      </c>
      <c r="Q141" s="141"/>
      <c r="R141" s="150">
        <v>1300000</v>
      </c>
      <c r="S141" s="150">
        <v>1358000</v>
      </c>
      <c r="T141" s="8" t="s">
        <v>844</v>
      </c>
      <c r="U141" s="140">
        <f t="shared" si="41"/>
        <v>2557954</v>
      </c>
      <c r="V141" s="188">
        <f t="shared" si="45"/>
        <v>255795.40000000002</v>
      </c>
      <c r="W141" s="188">
        <f t="shared" si="46"/>
        <v>48601.126000000004</v>
      </c>
      <c r="X141" s="188">
        <f t="shared" si="47"/>
        <v>2862351</v>
      </c>
      <c r="Y141" s="188">
        <f t="shared" si="48"/>
        <v>0</v>
      </c>
    </row>
    <row r="142" spans="1:25" ht="15.6" customHeight="1">
      <c r="A142" s="115" t="s">
        <v>663</v>
      </c>
      <c r="B142" s="119">
        <v>1110579008</v>
      </c>
      <c r="C142" s="7" t="s">
        <v>316</v>
      </c>
      <c r="D142" s="7" t="s">
        <v>257</v>
      </c>
      <c r="E142" s="7" t="s">
        <v>317</v>
      </c>
      <c r="F142" s="7" t="s">
        <v>223</v>
      </c>
      <c r="G142" s="114" t="s">
        <v>191</v>
      </c>
      <c r="H142" s="7" t="s">
        <v>14</v>
      </c>
      <c r="I142" s="64"/>
      <c r="J142" s="119">
        <v>30</v>
      </c>
      <c r="K142" s="138">
        <v>2465868</v>
      </c>
      <c r="L142" s="139">
        <v>2557954.36</v>
      </c>
      <c r="M142" s="140">
        <f t="shared" si="42"/>
        <v>255795.43599999999</v>
      </c>
      <c r="N142" s="140">
        <f t="shared" si="43"/>
        <v>48601.132839999998</v>
      </c>
      <c r="O142" s="140">
        <f t="shared" si="44"/>
        <v>2862350.9288400002</v>
      </c>
      <c r="P142" s="140">
        <f t="shared" si="40"/>
        <v>2862351</v>
      </c>
      <c r="Q142" s="141"/>
      <c r="R142" s="150">
        <v>1300000</v>
      </c>
      <c r="S142" s="142">
        <v>1358000</v>
      </c>
      <c r="T142" s="111" t="s">
        <v>844</v>
      </c>
      <c r="U142" s="140">
        <f t="shared" si="41"/>
        <v>2557954</v>
      </c>
      <c r="V142" s="188">
        <f t="shared" si="45"/>
        <v>255795.40000000002</v>
      </c>
      <c r="W142" s="188">
        <f t="shared" si="46"/>
        <v>48601.126000000004</v>
      </c>
      <c r="X142" s="188">
        <f t="shared" si="47"/>
        <v>2862351</v>
      </c>
      <c r="Y142" s="188">
        <f t="shared" si="48"/>
        <v>0</v>
      </c>
    </row>
    <row r="143" spans="1:25" ht="15.6" customHeight="1">
      <c r="A143" s="115" t="s">
        <v>664</v>
      </c>
      <c r="B143" s="119">
        <v>1018429019</v>
      </c>
      <c r="C143" s="7" t="s">
        <v>147</v>
      </c>
      <c r="D143" s="7" t="s">
        <v>148</v>
      </c>
      <c r="E143" s="7" t="s">
        <v>71</v>
      </c>
      <c r="F143" s="7" t="s">
        <v>149</v>
      </c>
      <c r="G143" s="114" t="s">
        <v>191</v>
      </c>
      <c r="H143" s="7" t="s">
        <v>14</v>
      </c>
      <c r="I143" s="64"/>
      <c r="J143" s="119">
        <v>30</v>
      </c>
      <c r="K143" s="138">
        <v>2465868</v>
      </c>
      <c r="L143" s="139">
        <v>2557954.36</v>
      </c>
      <c r="M143" s="140">
        <f t="shared" si="42"/>
        <v>255795.43599999999</v>
      </c>
      <c r="N143" s="140">
        <f t="shared" si="43"/>
        <v>48601.132839999998</v>
      </c>
      <c r="O143" s="140">
        <f t="shared" si="44"/>
        <v>2862350.9288400002</v>
      </c>
      <c r="P143" s="140">
        <f t="shared" si="40"/>
        <v>2862351</v>
      </c>
      <c r="Q143" s="141"/>
      <c r="R143" s="150">
        <v>1300000</v>
      </c>
      <c r="S143" s="142">
        <v>1358000</v>
      </c>
      <c r="T143" s="111" t="s">
        <v>841</v>
      </c>
      <c r="U143" s="140">
        <f t="shared" si="41"/>
        <v>2557954</v>
      </c>
      <c r="V143" s="188">
        <f t="shared" si="45"/>
        <v>255795.40000000002</v>
      </c>
      <c r="W143" s="188">
        <f t="shared" si="46"/>
        <v>48601.126000000004</v>
      </c>
      <c r="X143" s="188">
        <f t="shared" si="47"/>
        <v>2862351</v>
      </c>
      <c r="Y143" s="188">
        <f t="shared" si="48"/>
        <v>0</v>
      </c>
    </row>
    <row r="144" spans="1:25" ht="15.6" customHeight="1">
      <c r="A144" s="115" t="s">
        <v>664</v>
      </c>
      <c r="B144" s="119">
        <v>1031132769</v>
      </c>
      <c r="C144" s="7" t="s">
        <v>35</v>
      </c>
      <c r="D144" s="7" t="s">
        <v>161</v>
      </c>
      <c r="E144" s="7" t="s">
        <v>159</v>
      </c>
      <c r="F144" s="7" t="s">
        <v>31</v>
      </c>
      <c r="G144" s="114" t="s">
        <v>191</v>
      </c>
      <c r="H144" s="7" t="s">
        <v>14</v>
      </c>
      <c r="I144" s="64"/>
      <c r="J144" s="119">
        <v>30</v>
      </c>
      <c r="K144" s="138">
        <v>2465868</v>
      </c>
      <c r="L144" s="139">
        <v>2557954.36</v>
      </c>
      <c r="M144" s="140">
        <f t="shared" si="42"/>
        <v>255795.43599999999</v>
      </c>
      <c r="N144" s="140">
        <f t="shared" si="43"/>
        <v>48601.132839999998</v>
      </c>
      <c r="O144" s="140">
        <f t="shared" si="44"/>
        <v>2862350.9288400002</v>
      </c>
      <c r="P144" s="140">
        <f t="shared" si="40"/>
        <v>2862351</v>
      </c>
      <c r="Q144" s="141"/>
      <c r="R144" s="150">
        <v>1300000</v>
      </c>
      <c r="S144" s="150">
        <v>1358000</v>
      </c>
      <c r="T144" s="111" t="s">
        <v>841</v>
      </c>
      <c r="U144" s="140">
        <f t="shared" si="41"/>
        <v>2557954</v>
      </c>
      <c r="V144" s="188">
        <f t="shared" si="45"/>
        <v>255795.40000000002</v>
      </c>
      <c r="W144" s="188">
        <f t="shared" si="46"/>
        <v>48601.126000000004</v>
      </c>
      <c r="X144" s="188">
        <f t="shared" si="47"/>
        <v>2862351</v>
      </c>
      <c r="Y144" s="188">
        <f t="shared" si="48"/>
        <v>0</v>
      </c>
    </row>
    <row r="145" spans="1:25" ht="15.6" customHeight="1">
      <c r="A145" s="115" t="s">
        <v>665</v>
      </c>
      <c r="B145" s="119">
        <v>64577288</v>
      </c>
      <c r="C145" s="7" t="s">
        <v>144</v>
      </c>
      <c r="D145" s="7" t="s">
        <v>142</v>
      </c>
      <c r="E145" s="7" t="s">
        <v>145</v>
      </c>
      <c r="F145" s="7" t="s">
        <v>146</v>
      </c>
      <c r="G145" s="114" t="s">
        <v>191</v>
      </c>
      <c r="H145" s="7" t="s">
        <v>14</v>
      </c>
      <c r="I145" s="64"/>
      <c r="J145" s="119">
        <v>28</v>
      </c>
      <c r="K145" s="138">
        <v>2465868</v>
      </c>
      <c r="L145" s="139">
        <v>2557954.36</v>
      </c>
      <c r="M145" s="140">
        <f t="shared" si="42"/>
        <v>255795.43599999999</v>
      </c>
      <c r="N145" s="140">
        <f t="shared" si="43"/>
        <v>48601.132839999998</v>
      </c>
      <c r="O145" s="140">
        <f t="shared" si="44"/>
        <v>2862350.9288400002</v>
      </c>
      <c r="P145" s="140">
        <f t="shared" si="40"/>
        <v>2671528</v>
      </c>
      <c r="Q145" s="142" t="s">
        <v>860</v>
      </c>
      <c r="R145" s="149">
        <f>1213334+86667</f>
        <v>1300001</v>
      </c>
      <c r="S145" s="150">
        <v>1347200</v>
      </c>
      <c r="T145" s="111" t="s">
        <v>841</v>
      </c>
      <c r="U145" s="140">
        <f t="shared" si="41"/>
        <v>2387424</v>
      </c>
      <c r="V145" s="188">
        <f t="shared" si="45"/>
        <v>238742.40000000002</v>
      </c>
      <c r="W145" s="188">
        <f t="shared" si="46"/>
        <v>45361.056000000004</v>
      </c>
      <c r="X145" s="188">
        <f t="shared" si="47"/>
        <v>2671527</v>
      </c>
      <c r="Y145" s="188">
        <f t="shared" si="48"/>
        <v>-1</v>
      </c>
    </row>
    <row r="146" spans="1:25" ht="15.6" customHeight="1">
      <c r="A146" s="115" t="s">
        <v>665</v>
      </c>
      <c r="B146" s="119">
        <v>1020727061</v>
      </c>
      <c r="C146" s="7" t="s">
        <v>163</v>
      </c>
      <c r="D146" s="7" t="s">
        <v>166</v>
      </c>
      <c r="E146" s="7" t="s">
        <v>71</v>
      </c>
      <c r="F146" s="7" t="s">
        <v>167</v>
      </c>
      <c r="G146" s="114" t="s">
        <v>191</v>
      </c>
      <c r="H146" s="7" t="s">
        <v>14</v>
      </c>
      <c r="I146" s="64"/>
      <c r="J146" s="119">
        <v>30</v>
      </c>
      <c r="K146" s="138">
        <v>2465868</v>
      </c>
      <c r="L146" s="139">
        <v>2557954.36</v>
      </c>
      <c r="M146" s="140">
        <f t="shared" si="42"/>
        <v>255795.43599999999</v>
      </c>
      <c r="N146" s="140">
        <f t="shared" si="43"/>
        <v>48601.132839999998</v>
      </c>
      <c r="O146" s="140">
        <f t="shared" si="44"/>
        <v>2862350.9288400002</v>
      </c>
      <c r="P146" s="140">
        <f t="shared" si="40"/>
        <v>2862351</v>
      </c>
      <c r="Q146" s="141"/>
      <c r="R146" s="150">
        <v>1300000</v>
      </c>
      <c r="S146" s="150">
        <v>1358000</v>
      </c>
      <c r="T146" s="111" t="s">
        <v>841</v>
      </c>
      <c r="U146" s="140">
        <f t="shared" si="41"/>
        <v>2557954</v>
      </c>
      <c r="V146" s="188">
        <f t="shared" si="45"/>
        <v>255795.40000000002</v>
      </c>
      <c r="W146" s="188">
        <f t="shared" si="46"/>
        <v>48601.126000000004</v>
      </c>
      <c r="X146" s="188">
        <f t="shared" si="47"/>
        <v>2862351</v>
      </c>
      <c r="Y146" s="188">
        <f t="shared" si="48"/>
        <v>0</v>
      </c>
    </row>
    <row r="147" spans="1:25" ht="15.6" customHeight="1">
      <c r="A147" s="115" t="s">
        <v>666</v>
      </c>
      <c r="B147" s="119">
        <v>52500946</v>
      </c>
      <c r="C147" s="7" t="s">
        <v>147</v>
      </c>
      <c r="D147" s="7" t="s">
        <v>352</v>
      </c>
      <c r="E147" s="7" t="s">
        <v>353</v>
      </c>
      <c r="F147" s="7" t="s">
        <v>47</v>
      </c>
      <c r="G147" s="114" t="s">
        <v>191</v>
      </c>
      <c r="H147" s="7" t="s">
        <v>354</v>
      </c>
      <c r="I147" s="64"/>
      <c r="J147" s="119">
        <v>30</v>
      </c>
      <c r="K147" s="138">
        <v>2465868</v>
      </c>
      <c r="L147" s="139">
        <v>2557954.36</v>
      </c>
      <c r="M147" s="140">
        <f t="shared" si="42"/>
        <v>255795.43599999999</v>
      </c>
      <c r="N147" s="140">
        <f t="shared" si="43"/>
        <v>48601.132839999998</v>
      </c>
      <c r="O147" s="140">
        <f t="shared" si="44"/>
        <v>2862350.9288400002</v>
      </c>
      <c r="P147" s="140">
        <f t="shared" si="40"/>
        <v>2862351</v>
      </c>
      <c r="Q147" s="141"/>
      <c r="R147" s="150">
        <v>1300000</v>
      </c>
      <c r="S147" s="150">
        <v>1358000</v>
      </c>
      <c r="T147" s="111" t="s">
        <v>851</v>
      </c>
      <c r="U147" s="140">
        <f t="shared" si="41"/>
        <v>2557954</v>
      </c>
      <c r="V147" s="188">
        <f t="shared" si="45"/>
        <v>255795.40000000002</v>
      </c>
      <c r="W147" s="188">
        <f t="shared" si="46"/>
        <v>48601.126000000004</v>
      </c>
      <c r="X147" s="188">
        <f t="shared" si="47"/>
        <v>2862351</v>
      </c>
      <c r="Y147" s="188">
        <f t="shared" si="48"/>
        <v>0</v>
      </c>
    </row>
    <row r="148" spans="1:25" ht="15.6" customHeight="1">
      <c r="A148" s="115" t="s">
        <v>666</v>
      </c>
      <c r="B148" s="119">
        <v>51909861</v>
      </c>
      <c r="C148" s="7" t="s">
        <v>41</v>
      </c>
      <c r="D148" s="7"/>
      <c r="E148" s="7" t="s">
        <v>71</v>
      </c>
      <c r="F148" s="7" t="s">
        <v>433</v>
      </c>
      <c r="G148" s="114" t="s">
        <v>191</v>
      </c>
      <c r="H148" s="64">
        <v>45407</v>
      </c>
      <c r="I148" s="64"/>
      <c r="J148" s="119">
        <v>30</v>
      </c>
      <c r="K148" s="138">
        <v>2465868</v>
      </c>
      <c r="L148" s="139">
        <v>2557954.36</v>
      </c>
      <c r="M148" s="140">
        <f t="shared" si="42"/>
        <v>255795.43599999999</v>
      </c>
      <c r="N148" s="140">
        <f t="shared" si="43"/>
        <v>48601.132839999998</v>
      </c>
      <c r="O148" s="140">
        <f t="shared" si="44"/>
        <v>2862350.9288400002</v>
      </c>
      <c r="P148" s="140">
        <f t="shared" si="40"/>
        <v>2862351</v>
      </c>
      <c r="Q148" s="141"/>
      <c r="R148" s="144">
        <v>1300000</v>
      </c>
      <c r="S148" s="142">
        <v>1358000</v>
      </c>
      <c r="T148" s="111" t="s">
        <v>841</v>
      </c>
      <c r="U148" s="140">
        <f t="shared" si="41"/>
        <v>2557954</v>
      </c>
      <c r="V148" s="188">
        <f t="shared" si="45"/>
        <v>255795.40000000002</v>
      </c>
      <c r="W148" s="188">
        <f t="shared" si="46"/>
        <v>48601.126000000004</v>
      </c>
      <c r="X148" s="188">
        <f t="shared" si="47"/>
        <v>2862351</v>
      </c>
      <c r="Y148" s="188">
        <f t="shared" si="48"/>
        <v>0</v>
      </c>
    </row>
    <row r="149" spans="1:25" ht="15.6" customHeight="1">
      <c r="A149" s="115" t="s">
        <v>666</v>
      </c>
      <c r="B149" s="119">
        <v>1023015035</v>
      </c>
      <c r="C149" s="7" t="s">
        <v>291</v>
      </c>
      <c r="D149" s="7" t="s">
        <v>273</v>
      </c>
      <c r="E149" s="7" t="s">
        <v>294</v>
      </c>
      <c r="F149" s="7" t="s">
        <v>295</v>
      </c>
      <c r="G149" s="114" t="s">
        <v>13</v>
      </c>
      <c r="H149" s="7" t="s">
        <v>14</v>
      </c>
      <c r="I149" s="64"/>
      <c r="J149" s="119">
        <v>30</v>
      </c>
      <c r="K149" s="138">
        <v>2465868</v>
      </c>
      <c r="L149" s="139">
        <v>2557954.36</v>
      </c>
      <c r="M149" s="140">
        <f t="shared" si="42"/>
        <v>255795.43599999999</v>
      </c>
      <c r="N149" s="140">
        <f t="shared" si="43"/>
        <v>48601.132839999998</v>
      </c>
      <c r="O149" s="140">
        <f t="shared" si="44"/>
        <v>2862350.9288400002</v>
      </c>
      <c r="P149" s="140">
        <f t="shared" si="40"/>
        <v>2862351</v>
      </c>
      <c r="Q149" s="141"/>
      <c r="R149" s="144">
        <v>1390000</v>
      </c>
      <c r="S149" s="150">
        <v>1440800</v>
      </c>
      <c r="T149" s="111" t="s">
        <v>841</v>
      </c>
      <c r="U149" s="140">
        <f t="shared" si="41"/>
        <v>2557954</v>
      </c>
      <c r="V149" s="188">
        <f t="shared" si="45"/>
        <v>255795.40000000002</v>
      </c>
      <c r="W149" s="188">
        <f t="shared" si="46"/>
        <v>48601.126000000004</v>
      </c>
      <c r="X149" s="188">
        <f t="shared" si="47"/>
        <v>2862351</v>
      </c>
      <c r="Y149" s="188">
        <f t="shared" si="48"/>
        <v>0</v>
      </c>
    </row>
    <row r="150" spans="1:25" ht="15.6" customHeight="1">
      <c r="A150" s="115" t="s">
        <v>667</v>
      </c>
      <c r="B150" s="119">
        <v>52130077</v>
      </c>
      <c r="C150" s="7" t="s">
        <v>168</v>
      </c>
      <c r="D150" s="7" t="s">
        <v>19</v>
      </c>
      <c r="E150" s="7" t="s">
        <v>173</v>
      </c>
      <c r="F150" s="7"/>
      <c r="G150" s="114" t="s">
        <v>191</v>
      </c>
      <c r="H150" s="7" t="s">
        <v>14</v>
      </c>
      <c r="I150" s="64"/>
      <c r="J150" s="119">
        <v>30</v>
      </c>
      <c r="K150" s="138">
        <v>2465868</v>
      </c>
      <c r="L150" s="139">
        <v>2557954.36</v>
      </c>
      <c r="M150" s="140">
        <f t="shared" si="42"/>
        <v>255795.43599999999</v>
      </c>
      <c r="N150" s="140">
        <f t="shared" si="43"/>
        <v>48601.132839999998</v>
      </c>
      <c r="O150" s="140">
        <f t="shared" si="44"/>
        <v>2862350.9288400002</v>
      </c>
      <c r="P150" s="140">
        <f t="shared" si="40"/>
        <v>2862351</v>
      </c>
      <c r="Q150" s="141"/>
      <c r="R150" s="150">
        <v>1300000</v>
      </c>
      <c r="S150" s="150">
        <v>1358000</v>
      </c>
      <c r="T150" s="111" t="s">
        <v>852</v>
      </c>
      <c r="U150" s="140">
        <f t="shared" si="41"/>
        <v>2557954</v>
      </c>
      <c r="V150" s="188">
        <f t="shared" si="45"/>
        <v>255795.40000000002</v>
      </c>
      <c r="W150" s="188">
        <f t="shared" si="46"/>
        <v>48601.126000000004</v>
      </c>
      <c r="X150" s="188">
        <f t="shared" si="47"/>
        <v>2862351</v>
      </c>
      <c r="Y150" s="188">
        <f t="shared" si="48"/>
        <v>0</v>
      </c>
    </row>
    <row r="151" spans="1:25" ht="15.6" customHeight="1">
      <c r="A151" s="115" t="s">
        <v>667</v>
      </c>
      <c r="B151" s="119">
        <v>52389391</v>
      </c>
      <c r="C151" s="7" t="s">
        <v>194</v>
      </c>
      <c r="D151" s="7" t="s">
        <v>195</v>
      </c>
      <c r="E151" s="7" t="s">
        <v>196</v>
      </c>
      <c r="F151" s="7" t="s">
        <v>53</v>
      </c>
      <c r="G151" s="114" t="s">
        <v>191</v>
      </c>
      <c r="H151" s="7" t="s">
        <v>14</v>
      </c>
      <c r="I151" s="64"/>
      <c r="J151" s="119">
        <v>30</v>
      </c>
      <c r="K151" s="138">
        <v>2465868</v>
      </c>
      <c r="L151" s="139">
        <v>2557954.36</v>
      </c>
      <c r="M151" s="140">
        <f t="shared" si="42"/>
        <v>255795.43599999999</v>
      </c>
      <c r="N151" s="140">
        <f t="shared" si="43"/>
        <v>48601.132839999998</v>
      </c>
      <c r="O151" s="140">
        <f t="shared" si="44"/>
        <v>2862350.9288400002</v>
      </c>
      <c r="P151" s="140">
        <f t="shared" si="40"/>
        <v>2862351</v>
      </c>
      <c r="Q151" s="141"/>
      <c r="R151" s="150">
        <v>1300000</v>
      </c>
      <c r="S151" s="150">
        <v>1358000</v>
      </c>
      <c r="T151" s="111" t="s">
        <v>852</v>
      </c>
      <c r="U151" s="140">
        <f t="shared" si="41"/>
        <v>2557954</v>
      </c>
      <c r="V151" s="188">
        <f t="shared" si="45"/>
        <v>255795.40000000002</v>
      </c>
      <c r="W151" s="188">
        <f t="shared" si="46"/>
        <v>48601.126000000004</v>
      </c>
      <c r="X151" s="188">
        <f t="shared" si="47"/>
        <v>2862351</v>
      </c>
      <c r="Y151" s="188">
        <f t="shared" si="48"/>
        <v>0</v>
      </c>
    </row>
    <row r="152" spans="1:25" ht="15.6" customHeight="1">
      <c r="A152" s="115" t="s">
        <v>667</v>
      </c>
      <c r="B152" s="119">
        <v>1127388893</v>
      </c>
      <c r="C152" s="7" t="s">
        <v>291</v>
      </c>
      <c r="D152" s="7" t="s">
        <v>292</v>
      </c>
      <c r="E152" s="7" t="s">
        <v>153</v>
      </c>
      <c r="F152" s="7" t="s">
        <v>293</v>
      </c>
      <c r="G152" s="114" t="s">
        <v>13</v>
      </c>
      <c r="H152" s="7" t="s">
        <v>14</v>
      </c>
      <c r="I152" s="64"/>
      <c r="J152" s="119">
        <v>30</v>
      </c>
      <c r="K152" s="138">
        <v>2465868</v>
      </c>
      <c r="L152" s="139">
        <v>2557954.36</v>
      </c>
      <c r="M152" s="140">
        <f t="shared" si="42"/>
        <v>255795.43599999999</v>
      </c>
      <c r="N152" s="140">
        <f t="shared" si="43"/>
        <v>48601.132839999998</v>
      </c>
      <c r="O152" s="140">
        <f t="shared" si="44"/>
        <v>2862350.9288400002</v>
      </c>
      <c r="P152" s="140">
        <f t="shared" si="40"/>
        <v>2862351</v>
      </c>
      <c r="Q152" s="141"/>
      <c r="R152" s="144">
        <v>1390000</v>
      </c>
      <c r="S152" s="150">
        <v>1440800</v>
      </c>
      <c r="T152" s="111" t="s">
        <v>779</v>
      </c>
      <c r="U152" s="140">
        <f t="shared" si="41"/>
        <v>2557954</v>
      </c>
      <c r="V152" s="188">
        <f t="shared" si="45"/>
        <v>255795.40000000002</v>
      </c>
      <c r="W152" s="188">
        <f t="shared" si="46"/>
        <v>48601.126000000004</v>
      </c>
      <c r="X152" s="188">
        <f t="shared" si="47"/>
        <v>2862351</v>
      </c>
      <c r="Y152" s="188">
        <f t="shared" si="48"/>
        <v>0</v>
      </c>
    </row>
    <row r="153" spans="1:25" ht="15.6" customHeight="1">
      <c r="A153" s="115" t="s">
        <v>668</v>
      </c>
      <c r="B153" s="119">
        <v>12753966</v>
      </c>
      <c r="C153" s="7" t="s">
        <v>259</v>
      </c>
      <c r="D153" s="7" t="s">
        <v>260</v>
      </c>
      <c r="E153" s="7" t="s">
        <v>261</v>
      </c>
      <c r="F153" s="7" t="s">
        <v>262</v>
      </c>
      <c r="G153" s="114" t="s">
        <v>13</v>
      </c>
      <c r="H153" s="7" t="s">
        <v>14</v>
      </c>
      <c r="I153" s="64"/>
      <c r="J153" s="119">
        <v>30</v>
      </c>
      <c r="K153" s="138">
        <v>2465868</v>
      </c>
      <c r="L153" s="139">
        <v>2557954.36</v>
      </c>
      <c r="M153" s="140">
        <f t="shared" si="42"/>
        <v>255795.43599999999</v>
      </c>
      <c r="N153" s="140">
        <f t="shared" si="43"/>
        <v>48601.132839999998</v>
      </c>
      <c r="O153" s="140">
        <f t="shared" si="44"/>
        <v>2862350.9288400002</v>
      </c>
      <c r="P153" s="140">
        <f t="shared" si="40"/>
        <v>2862351</v>
      </c>
      <c r="Q153" s="141"/>
      <c r="R153" s="144">
        <v>1390000</v>
      </c>
      <c r="S153" s="150">
        <v>1440800</v>
      </c>
      <c r="T153" s="111" t="s">
        <v>852</v>
      </c>
      <c r="U153" s="140">
        <f t="shared" si="41"/>
        <v>2557954</v>
      </c>
      <c r="V153" s="188">
        <f t="shared" si="45"/>
        <v>255795.40000000002</v>
      </c>
      <c r="W153" s="188">
        <f t="shared" si="46"/>
        <v>48601.126000000004</v>
      </c>
      <c r="X153" s="188">
        <f t="shared" si="47"/>
        <v>2862351</v>
      </c>
      <c r="Y153" s="188">
        <f t="shared" si="48"/>
        <v>0</v>
      </c>
    </row>
    <row r="154" spans="1:25" ht="15.6" customHeight="1">
      <c r="A154" s="115" t="s">
        <v>668</v>
      </c>
      <c r="B154" s="119">
        <v>39798258</v>
      </c>
      <c r="C154" s="7" t="s">
        <v>168</v>
      </c>
      <c r="D154" s="7" t="s">
        <v>169</v>
      </c>
      <c r="E154" s="7" t="s">
        <v>170</v>
      </c>
      <c r="F154" s="7"/>
      <c r="G154" s="114" t="s">
        <v>191</v>
      </c>
      <c r="H154" s="7" t="s">
        <v>14</v>
      </c>
      <c r="I154" s="64"/>
      <c r="J154" s="119">
        <v>30</v>
      </c>
      <c r="K154" s="138">
        <v>2465868</v>
      </c>
      <c r="L154" s="139">
        <v>2557954.36</v>
      </c>
      <c r="M154" s="140">
        <f t="shared" si="42"/>
        <v>255795.43599999999</v>
      </c>
      <c r="N154" s="140">
        <f t="shared" si="43"/>
        <v>48601.132839999998</v>
      </c>
      <c r="O154" s="140">
        <f t="shared" si="44"/>
        <v>2862350.9288400002</v>
      </c>
      <c r="P154" s="140">
        <f t="shared" si="40"/>
        <v>2862351</v>
      </c>
      <c r="Q154" s="141"/>
      <c r="R154" s="150">
        <v>1300000</v>
      </c>
      <c r="S154" s="150">
        <v>1358000</v>
      </c>
      <c r="T154" s="111" t="s">
        <v>841</v>
      </c>
      <c r="U154" s="140">
        <f t="shared" si="41"/>
        <v>2557954</v>
      </c>
      <c r="V154" s="188">
        <f t="shared" si="45"/>
        <v>255795.40000000002</v>
      </c>
      <c r="W154" s="188">
        <f t="shared" si="46"/>
        <v>48601.126000000004</v>
      </c>
      <c r="X154" s="188">
        <f t="shared" si="47"/>
        <v>2862351</v>
      </c>
      <c r="Y154" s="188">
        <f t="shared" si="48"/>
        <v>0</v>
      </c>
    </row>
    <row r="155" spans="1:25" ht="15.6" customHeight="1">
      <c r="A155" s="115" t="s">
        <v>668</v>
      </c>
      <c r="B155" s="119">
        <v>52800585</v>
      </c>
      <c r="C155" s="7" t="s">
        <v>250</v>
      </c>
      <c r="D155" s="7" t="s">
        <v>251</v>
      </c>
      <c r="E155" s="7" t="s">
        <v>60</v>
      </c>
      <c r="F155" s="7" t="s">
        <v>54</v>
      </c>
      <c r="G155" s="114" t="s">
        <v>191</v>
      </c>
      <c r="H155" s="7" t="s">
        <v>14</v>
      </c>
      <c r="I155" s="64"/>
      <c r="J155" s="119">
        <v>30</v>
      </c>
      <c r="K155" s="138">
        <v>2465868</v>
      </c>
      <c r="L155" s="139">
        <v>2557954.36</v>
      </c>
      <c r="M155" s="140">
        <f t="shared" si="42"/>
        <v>255795.43599999999</v>
      </c>
      <c r="N155" s="140">
        <f t="shared" si="43"/>
        <v>48601.132839999998</v>
      </c>
      <c r="O155" s="140">
        <f t="shared" si="44"/>
        <v>2862350.9288400002</v>
      </c>
      <c r="P155" s="140">
        <f t="shared" si="40"/>
        <v>2862351</v>
      </c>
      <c r="Q155" s="141"/>
      <c r="R155" s="150">
        <v>1300000</v>
      </c>
      <c r="S155" s="150">
        <v>1358000</v>
      </c>
      <c r="T155" s="111" t="s">
        <v>841</v>
      </c>
      <c r="U155" s="140">
        <f t="shared" si="41"/>
        <v>2557954</v>
      </c>
      <c r="V155" s="188">
        <f t="shared" si="45"/>
        <v>255795.40000000002</v>
      </c>
      <c r="W155" s="188">
        <f t="shared" si="46"/>
        <v>48601.126000000004</v>
      </c>
      <c r="X155" s="188">
        <f t="shared" si="47"/>
        <v>2862351</v>
      </c>
      <c r="Y155" s="188">
        <f t="shared" si="48"/>
        <v>0</v>
      </c>
    </row>
    <row r="156" spans="1:25" ht="15.6" customHeight="1">
      <c r="A156" s="115" t="s">
        <v>668</v>
      </c>
      <c r="B156" s="119">
        <v>53153000</v>
      </c>
      <c r="C156" s="7" t="s">
        <v>28</v>
      </c>
      <c r="D156" s="7" t="s">
        <v>28</v>
      </c>
      <c r="E156" s="7" t="s">
        <v>32</v>
      </c>
      <c r="F156" s="7" t="s">
        <v>33</v>
      </c>
      <c r="G156" s="114" t="s">
        <v>191</v>
      </c>
      <c r="H156" s="7" t="s">
        <v>14</v>
      </c>
      <c r="I156" s="64"/>
      <c r="J156" s="119">
        <v>30</v>
      </c>
      <c r="K156" s="138">
        <v>2465868</v>
      </c>
      <c r="L156" s="139">
        <v>2557954.36</v>
      </c>
      <c r="M156" s="140">
        <f t="shared" ref="M156:M189" si="49">+L156*10%</f>
        <v>255795.43599999999</v>
      </c>
      <c r="N156" s="140">
        <f t="shared" ref="N156:N189" si="50">+M156*19%</f>
        <v>48601.132839999998</v>
      </c>
      <c r="O156" s="140">
        <f t="shared" ref="O156:O189" si="51">+L156+M156+N156</f>
        <v>2862350.9288400002</v>
      </c>
      <c r="P156" s="140">
        <f t="shared" si="40"/>
        <v>2862351</v>
      </c>
      <c r="Q156" s="141"/>
      <c r="R156" s="150">
        <v>1300000</v>
      </c>
      <c r="S156" s="150">
        <v>1358000</v>
      </c>
      <c r="T156" s="111" t="s">
        <v>841</v>
      </c>
      <c r="U156" s="140">
        <f t="shared" si="41"/>
        <v>2557954</v>
      </c>
      <c r="V156" s="188">
        <f t="shared" si="45"/>
        <v>255795.40000000002</v>
      </c>
      <c r="W156" s="188">
        <f t="shared" si="46"/>
        <v>48601.126000000004</v>
      </c>
      <c r="X156" s="188">
        <f t="shared" si="47"/>
        <v>2862351</v>
      </c>
      <c r="Y156" s="188">
        <f t="shared" si="48"/>
        <v>0</v>
      </c>
    </row>
    <row r="157" spans="1:25" ht="15.6" customHeight="1">
      <c r="A157" s="115" t="s">
        <v>668</v>
      </c>
      <c r="B157" s="119">
        <v>77106343</v>
      </c>
      <c r="C157" s="7" t="s">
        <v>751</v>
      </c>
      <c r="D157" s="7" t="s">
        <v>217</v>
      </c>
      <c r="E157" s="7" t="s">
        <v>246</v>
      </c>
      <c r="F157" s="7" t="s">
        <v>748</v>
      </c>
      <c r="G157" s="114" t="s">
        <v>13</v>
      </c>
      <c r="H157" s="64">
        <v>45429</v>
      </c>
      <c r="I157" s="64">
        <v>45479</v>
      </c>
      <c r="J157" s="119">
        <v>6</v>
      </c>
      <c r="K157" s="138">
        <v>2465868</v>
      </c>
      <c r="L157" s="139">
        <v>2557954.36</v>
      </c>
      <c r="M157" s="140">
        <f t="shared" si="49"/>
        <v>255795.43599999999</v>
      </c>
      <c r="N157" s="140">
        <f t="shared" si="50"/>
        <v>48601.132839999998</v>
      </c>
      <c r="O157" s="140">
        <f t="shared" si="51"/>
        <v>2862350.9288400002</v>
      </c>
      <c r="P157" s="140">
        <f t="shared" si="40"/>
        <v>572470</v>
      </c>
      <c r="Q157" s="142" t="s">
        <v>850</v>
      </c>
      <c r="R157" s="149">
        <v>278000</v>
      </c>
      <c r="S157" s="150">
        <v>629704</v>
      </c>
      <c r="T157" s="111" t="s">
        <v>849</v>
      </c>
      <c r="U157" s="140">
        <f t="shared" si="41"/>
        <v>511591</v>
      </c>
      <c r="V157" s="188">
        <f t="shared" si="45"/>
        <v>51159.100000000006</v>
      </c>
      <c r="W157" s="188">
        <f t="shared" si="46"/>
        <v>9720.2290000000012</v>
      </c>
      <c r="X157" s="188">
        <f t="shared" si="47"/>
        <v>572470</v>
      </c>
      <c r="Y157" s="188">
        <f t="shared" si="48"/>
        <v>0</v>
      </c>
    </row>
    <row r="158" spans="1:25" ht="15.6" customHeight="1">
      <c r="A158" s="115" t="s">
        <v>668</v>
      </c>
      <c r="B158" s="119">
        <v>1023961022</v>
      </c>
      <c r="C158" s="7" t="s">
        <v>296</v>
      </c>
      <c r="D158" s="7" t="s">
        <v>297</v>
      </c>
      <c r="E158" s="7" t="s">
        <v>298</v>
      </c>
      <c r="F158" s="7"/>
      <c r="G158" s="114" t="s">
        <v>13</v>
      </c>
      <c r="H158" s="7" t="s">
        <v>14</v>
      </c>
      <c r="I158" s="64"/>
      <c r="J158" s="119">
        <v>14</v>
      </c>
      <c r="K158" s="138">
        <v>2465868</v>
      </c>
      <c r="L158" s="139">
        <v>2557954.36</v>
      </c>
      <c r="M158" s="140">
        <f t="shared" ref="M158" si="52">+L158*10%</f>
        <v>255795.43599999999</v>
      </c>
      <c r="N158" s="140">
        <f t="shared" ref="N158" si="53">+M158*19%</f>
        <v>48601.132839999998</v>
      </c>
      <c r="O158" s="140">
        <f t="shared" ref="O158" si="54">+L158+M158+N158</f>
        <v>2862350.9288400002</v>
      </c>
      <c r="P158" s="140">
        <f t="shared" ref="P158" si="55">+ROUND(((O158/30)*J158),0)</f>
        <v>1335764</v>
      </c>
      <c r="Q158" s="142" t="s">
        <v>825</v>
      </c>
      <c r="R158" s="144">
        <v>1390000</v>
      </c>
      <c r="S158" s="150">
        <v>1318991</v>
      </c>
      <c r="T158" s="111" t="s">
        <v>841</v>
      </c>
      <c r="U158" s="140">
        <f t="shared" si="41"/>
        <v>1193712</v>
      </c>
      <c r="V158" s="188">
        <f t="shared" si="45"/>
        <v>119371.20000000001</v>
      </c>
      <c r="W158" s="188">
        <f t="shared" si="46"/>
        <v>22680.528000000002</v>
      </c>
      <c r="X158" s="188">
        <f t="shared" si="47"/>
        <v>1335764</v>
      </c>
      <c r="Y158" s="188">
        <f t="shared" si="48"/>
        <v>0</v>
      </c>
    </row>
    <row r="159" spans="1:25" ht="15.6" customHeight="1">
      <c r="A159" s="115" t="s">
        <v>668</v>
      </c>
      <c r="B159" s="119">
        <v>1010219099</v>
      </c>
      <c r="C159" s="7" t="s">
        <v>263</v>
      </c>
      <c r="D159" s="7"/>
      <c r="E159" s="7" t="s">
        <v>264</v>
      </c>
      <c r="F159" s="7" t="s">
        <v>265</v>
      </c>
      <c r="G159" s="114" t="s">
        <v>191</v>
      </c>
      <c r="H159" s="7" t="s">
        <v>14</v>
      </c>
      <c r="I159" s="64"/>
      <c r="J159" s="119">
        <v>30</v>
      </c>
      <c r="K159" s="138">
        <v>2465868</v>
      </c>
      <c r="L159" s="139">
        <v>2557954.36</v>
      </c>
      <c r="M159" s="140">
        <f t="shared" si="49"/>
        <v>255795.43599999999</v>
      </c>
      <c r="N159" s="140">
        <f t="shared" si="50"/>
        <v>48601.132839999998</v>
      </c>
      <c r="O159" s="140">
        <f t="shared" si="51"/>
        <v>2862350.9288400002</v>
      </c>
      <c r="P159" s="140">
        <f t="shared" si="40"/>
        <v>2862351</v>
      </c>
      <c r="Q159" s="141"/>
      <c r="R159" s="150">
        <v>1300000</v>
      </c>
      <c r="S159" s="150">
        <v>1358000</v>
      </c>
      <c r="T159" s="111" t="s">
        <v>841</v>
      </c>
      <c r="U159" s="140">
        <f t="shared" si="41"/>
        <v>2557954</v>
      </c>
      <c r="V159" s="188">
        <f t="shared" si="45"/>
        <v>255795.40000000002</v>
      </c>
      <c r="W159" s="188">
        <f t="shared" si="46"/>
        <v>48601.126000000004</v>
      </c>
      <c r="X159" s="188">
        <f t="shared" si="47"/>
        <v>2862351</v>
      </c>
      <c r="Y159" s="188">
        <f t="shared" si="48"/>
        <v>0</v>
      </c>
    </row>
    <row r="160" spans="1:25" ht="15.6" customHeight="1">
      <c r="A160" s="115" t="s">
        <v>669</v>
      </c>
      <c r="B160" s="119">
        <v>52038209</v>
      </c>
      <c r="C160" s="7" t="s">
        <v>252</v>
      </c>
      <c r="D160" s="7" t="s">
        <v>254</v>
      </c>
      <c r="E160" s="7" t="s">
        <v>255</v>
      </c>
      <c r="F160" s="7"/>
      <c r="G160" s="114" t="s">
        <v>191</v>
      </c>
      <c r="H160" s="7" t="s">
        <v>14</v>
      </c>
      <c r="I160" s="64"/>
      <c r="J160" s="119">
        <v>30</v>
      </c>
      <c r="K160" s="138">
        <v>2465868</v>
      </c>
      <c r="L160" s="139">
        <v>2557954.36</v>
      </c>
      <c r="M160" s="140">
        <f t="shared" si="49"/>
        <v>255795.43599999999</v>
      </c>
      <c r="N160" s="140">
        <f t="shared" si="50"/>
        <v>48601.132839999998</v>
      </c>
      <c r="O160" s="140">
        <f t="shared" si="51"/>
        <v>2862350.9288400002</v>
      </c>
      <c r="P160" s="140">
        <f t="shared" si="40"/>
        <v>2862351</v>
      </c>
      <c r="Q160" s="141"/>
      <c r="R160" s="150">
        <v>1300000</v>
      </c>
      <c r="S160" s="150">
        <v>1358000</v>
      </c>
      <c r="T160" s="111" t="s">
        <v>841</v>
      </c>
      <c r="U160" s="140">
        <f t="shared" si="41"/>
        <v>2557954</v>
      </c>
      <c r="V160" s="188">
        <f t="shared" si="45"/>
        <v>255795.40000000002</v>
      </c>
      <c r="W160" s="188">
        <f t="shared" si="46"/>
        <v>48601.126000000004</v>
      </c>
      <c r="X160" s="188">
        <f t="shared" si="47"/>
        <v>2862351</v>
      </c>
      <c r="Y160" s="188">
        <f t="shared" si="48"/>
        <v>0</v>
      </c>
    </row>
    <row r="161" spans="1:25" ht="15.6" customHeight="1">
      <c r="A161" s="115" t="s">
        <v>670</v>
      </c>
      <c r="B161" s="119">
        <v>52028199</v>
      </c>
      <c r="C161" s="7" t="s">
        <v>377</v>
      </c>
      <c r="D161" s="7" t="s">
        <v>378</v>
      </c>
      <c r="E161" s="7" t="s">
        <v>379</v>
      </c>
      <c r="F161" s="7"/>
      <c r="G161" s="114" t="s">
        <v>191</v>
      </c>
      <c r="H161" s="7" t="s">
        <v>354</v>
      </c>
      <c r="I161" s="64"/>
      <c r="J161" s="119">
        <v>30</v>
      </c>
      <c r="K161" s="138">
        <v>2465868</v>
      </c>
      <c r="L161" s="139">
        <v>2557954.36</v>
      </c>
      <c r="M161" s="140">
        <f t="shared" si="49"/>
        <v>255795.43599999999</v>
      </c>
      <c r="N161" s="140">
        <f t="shared" si="50"/>
        <v>48601.132839999998</v>
      </c>
      <c r="O161" s="140">
        <f t="shared" si="51"/>
        <v>2862350.9288400002</v>
      </c>
      <c r="P161" s="140">
        <f t="shared" si="40"/>
        <v>2862351</v>
      </c>
      <c r="Q161" s="141"/>
      <c r="R161" s="150">
        <v>1300000</v>
      </c>
      <c r="S161" s="150">
        <v>1358000</v>
      </c>
      <c r="T161" s="111" t="s">
        <v>779</v>
      </c>
      <c r="U161" s="140">
        <f t="shared" si="41"/>
        <v>2557954</v>
      </c>
      <c r="V161" s="188">
        <f t="shared" si="45"/>
        <v>255795.40000000002</v>
      </c>
      <c r="W161" s="188">
        <f t="shared" si="46"/>
        <v>48601.126000000004</v>
      </c>
      <c r="X161" s="188">
        <f t="shared" si="47"/>
        <v>2862351</v>
      </c>
      <c r="Y161" s="188">
        <f t="shared" si="48"/>
        <v>0</v>
      </c>
    </row>
    <row r="162" spans="1:25" ht="15.6" customHeight="1">
      <c r="A162" s="115" t="s">
        <v>670</v>
      </c>
      <c r="B162" s="119">
        <v>53176412</v>
      </c>
      <c r="C162" s="7" t="s">
        <v>139</v>
      </c>
      <c r="D162" s="7" t="s">
        <v>332</v>
      </c>
      <c r="E162" s="7" t="s">
        <v>333</v>
      </c>
      <c r="F162" s="7"/>
      <c r="G162" s="114" t="s">
        <v>191</v>
      </c>
      <c r="H162" s="7" t="s">
        <v>14</v>
      </c>
      <c r="I162" s="64"/>
      <c r="J162" s="119">
        <v>30</v>
      </c>
      <c r="K162" s="138">
        <v>2465868</v>
      </c>
      <c r="L162" s="139">
        <v>2557954.36</v>
      </c>
      <c r="M162" s="140">
        <f t="shared" si="49"/>
        <v>255795.43599999999</v>
      </c>
      <c r="N162" s="140">
        <f t="shared" si="50"/>
        <v>48601.132839999998</v>
      </c>
      <c r="O162" s="140">
        <f t="shared" si="51"/>
        <v>2862350.9288400002</v>
      </c>
      <c r="P162" s="140">
        <f t="shared" si="40"/>
        <v>2862351</v>
      </c>
      <c r="Q162" s="141"/>
      <c r="R162" s="150">
        <v>1300000</v>
      </c>
      <c r="S162" s="150">
        <v>1358000</v>
      </c>
      <c r="T162" s="111" t="s">
        <v>841</v>
      </c>
      <c r="U162" s="140">
        <f t="shared" si="41"/>
        <v>2557954</v>
      </c>
      <c r="V162" s="188">
        <f t="shared" si="45"/>
        <v>255795.40000000002</v>
      </c>
      <c r="W162" s="188">
        <f t="shared" si="46"/>
        <v>48601.126000000004</v>
      </c>
      <c r="X162" s="188">
        <f t="shared" si="47"/>
        <v>2862351</v>
      </c>
      <c r="Y162" s="188">
        <f t="shared" si="48"/>
        <v>0</v>
      </c>
    </row>
    <row r="163" spans="1:25" ht="15.6" customHeight="1">
      <c r="A163" s="115" t="s">
        <v>670</v>
      </c>
      <c r="B163" s="119">
        <v>79449859</v>
      </c>
      <c r="C163" s="7" t="s">
        <v>273</v>
      </c>
      <c r="D163" s="7" t="s">
        <v>78</v>
      </c>
      <c r="E163" s="7" t="s">
        <v>226</v>
      </c>
      <c r="F163" s="7" t="s">
        <v>323</v>
      </c>
      <c r="G163" s="114" t="s">
        <v>13</v>
      </c>
      <c r="H163" s="7" t="s">
        <v>14</v>
      </c>
      <c r="I163" s="64"/>
      <c r="J163" s="119">
        <v>30</v>
      </c>
      <c r="K163" s="138">
        <v>2465868</v>
      </c>
      <c r="L163" s="139">
        <v>2557954.36</v>
      </c>
      <c r="M163" s="140">
        <f t="shared" si="49"/>
        <v>255795.43599999999</v>
      </c>
      <c r="N163" s="140">
        <f t="shared" si="50"/>
        <v>48601.132839999998</v>
      </c>
      <c r="O163" s="140">
        <f t="shared" si="51"/>
        <v>2862350.9288400002</v>
      </c>
      <c r="P163" s="140">
        <f t="shared" si="40"/>
        <v>2862351</v>
      </c>
      <c r="Q163" s="141"/>
      <c r="R163" s="144">
        <v>1390000</v>
      </c>
      <c r="S163" s="150">
        <v>1440800</v>
      </c>
      <c r="T163" s="111" t="s">
        <v>841</v>
      </c>
      <c r="U163" s="140">
        <f t="shared" si="41"/>
        <v>2557954</v>
      </c>
      <c r="V163" s="188">
        <f t="shared" si="45"/>
        <v>255795.40000000002</v>
      </c>
      <c r="W163" s="188">
        <f t="shared" si="46"/>
        <v>48601.126000000004</v>
      </c>
      <c r="X163" s="188">
        <f t="shared" si="47"/>
        <v>2862351</v>
      </c>
      <c r="Y163" s="188">
        <f t="shared" si="48"/>
        <v>0</v>
      </c>
    </row>
    <row r="164" spans="1:25" ht="15.6" customHeight="1">
      <c r="A164" s="115" t="s">
        <v>670</v>
      </c>
      <c r="B164" s="119">
        <v>1033775424</v>
      </c>
      <c r="C164" s="7" t="s">
        <v>814</v>
      </c>
      <c r="D164" s="7" t="s">
        <v>815</v>
      </c>
      <c r="E164" s="7" t="s">
        <v>816</v>
      </c>
      <c r="F164" s="7" t="s">
        <v>817</v>
      </c>
      <c r="G164" s="114" t="s">
        <v>89</v>
      </c>
      <c r="H164" s="64">
        <v>45475</v>
      </c>
      <c r="I164" s="64"/>
      <c r="J164" s="119">
        <v>29</v>
      </c>
      <c r="K164" s="138">
        <v>2465868</v>
      </c>
      <c r="L164" s="139">
        <v>2557954.36</v>
      </c>
      <c r="M164" s="140">
        <f t="shared" ref="M164" si="56">+L164*10%</f>
        <v>255795.43599999999</v>
      </c>
      <c r="N164" s="140">
        <f t="shared" ref="N164" si="57">+M164*19%</f>
        <v>48601.132839999998</v>
      </c>
      <c r="O164" s="140">
        <f t="shared" ref="O164" si="58">+L164+M164+N164</f>
        <v>2862350.9288400002</v>
      </c>
      <c r="P164" s="140">
        <f t="shared" si="40"/>
        <v>2766939</v>
      </c>
      <c r="Q164" s="142" t="s">
        <v>855</v>
      </c>
      <c r="R164" s="149">
        <v>1310800</v>
      </c>
      <c r="S164" s="150">
        <v>1362536</v>
      </c>
      <c r="T164" s="111" t="s">
        <v>841</v>
      </c>
      <c r="U164" s="140">
        <f t="shared" si="41"/>
        <v>2472689</v>
      </c>
      <c r="V164" s="188">
        <f t="shared" si="45"/>
        <v>247268.90000000002</v>
      </c>
      <c r="W164" s="188">
        <f t="shared" si="46"/>
        <v>46981.091000000008</v>
      </c>
      <c r="X164" s="188">
        <f t="shared" si="47"/>
        <v>2766939</v>
      </c>
      <c r="Y164" s="188">
        <f t="shared" si="48"/>
        <v>0</v>
      </c>
    </row>
    <row r="165" spans="1:25" ht="15.6" customHeight="1">
      <c r="A165" s="115" t="s">
        <v>670</v>
      </c>
      <c r="B165" s="119">
        <v>1015398680</v>
      </c>
      <c r="C165" s="7" t="s">
        <v>19</v>
      </c>
      <c r="D165" s="7" t="s">
        <v>28</v>
      </c>
      <c r="E165" s="7" t="s">
        <v>285</v>
      </c>
      <c r="F165" s="7" t="s">
        <v>286</v>
      </c>
      <c r="G165" s="114" t="s">
        <v>13</v>
      </c>
      <c r="H165" s="7" t="s">
        <v>14</v>
      </c>
      <c r="I165" s="64"/>
      <c r="J165" s="119">
        <v>28</v>
      </c>
      <c r="K165" s="138">
        <v>2465868</v>
      </c>
      <c r="L165" s="139">
        <v>2557954.36</v>
      </c>
      <c r="M165" s="140">
        <f t="shared" si="49"/>
        <v>255795.43599999999</v>
      </c>
      <c r="N165" s="140">
        <f t="shared" si="50"/>
        <v>48601.132839999998</v>
      </c>
      <c r="O165" s="140">
        <f t="shared" si="51"/>
        <v>2862350.9288400002</v>
      </c>
      <c r="P165" s="140">
        <f t="shared" si="40"/>
        <v>2671528</v>
      </c>
      <c r="Q165" s="142" t="s">
        <v>872</v>
      </c>
      <c r="R165" s="143">
        <f>1297334+92667</f>
        <v>1390001</v>
      </c>
      <c r="S165" s="142">
        <v>1344747</v>
      </c>
      <c r="T165" s="111" t="s">
        <v>841</v>
      </c>
      <c r="U165" s="140">
        <f t="shared" si="41"/>
        <v>2387424</v>
      </c>
      <c r="V165" s="188">
        <f t="shared" si="45"/>
        <v>238742.40000000002</v>
      </c>
      <c r="W165" s="188">
        <f t="shared" si="46"/>
        <v>45361.056000000004</v>
      </c>
      <c r="X165" s="188">
        <f t="shared" si="47"/>
        <v>2671527</v>
      </c>
      <c r="Y165" s="188">
        <f t="shared" si="48"/>
        <v>-1</v>
      </c>
    </row>
    <row r="166" spans="1:25" ht="15.6" customHeight="1">
      <c r="A166" s="115" t="s">
        <v>670</v>
      </c>
      <c r="B166" s="119">
        <v>1023941569</v>
      </c>
      <c r="C166" s="7" t="s">
        <v>41</v>
      </c>
      <c r="D166" s="7" t="s">
        <v>42</v>
      </c>
      <c r="E166" s="7" t="s">
        <v>43</v>
      </c>
      <c r="F166" s="7" t="s">
        <v>44</v>
      </c>
      <c r="G166" s="114" t="s">
        <v>45</v>
      </c>
      <c r="H166" s="7" t="s">
        <v>14</v>
      </c>
      <c r="I166" s="64"/>
      <c r="J166" s="119">
        <v>30</v>
      </c>
      <c r="K166" s="138">
        <v>2465868</v>
      </c>
      <c r="L166" s="139">
        <v>2557954.36</v>
      </c>
      <c r="M166" s="140">
        <f t="shared" si="49"/>
        <v>255795.43599999999</v>
      </c>
      <c r="N166" s="140">
        <f t="shared" si="50"/>
        <v>48601.132839999998</v>
      </c>
      <c r="O166" s="140">
        <f t="shared" si="51"/>
        <v>2862350.9288400002</v>
      </c>
      <c r="P166" s="140">
        <f t="shared" si="40"/>
        <v>2862351</v>
      </c>
      <c r="Q166" s="141"/>
      <c r="R166" s="142">
        <v>1401000</v>
      </c>
      <c r="S166" s="150">
        <v>1680920</v>
      </c>
      <c r="T166" s="111" t="s">
        <v>841</v>
      </c>
      <c r="U166" s="140">
        <f t="shared" si="41"/>
        <v>2557954</v>
      </c>
      <c r="V166" s="188">
        <f t="shared" si="45"/>
        <v>255795.40000000002</v>
      </c>
      <c r="W166" s="188">
        <f t="shared" si="46"/>
        <v>48601.126000000004</v>
      </c>
      <c r="X166" s="188">
        <f t="shared" si="47"/>
        <v>2862351</v>
      </c>
      <c r="Y166" s="188">
        <f t="shared" si="48"/>
        <v>0</v>
      </c>
    </row>
    <row r="167" spans="1:25" ht="15.6" customHeight="1">
      <c r="A167" s="115" t="s">
        <v>670</v>
      </c>
      <c r="B167" s="119">
        <v>1024547275</v>
      </c>
      <c r="C167" s="7" t="s">
        <v>121</v>
      </c>
      <c r="D167" s="7" t="s">
        <v>122</v>
      </c>
      <c r="E167" s="7" t="s">
        <v>123</v>
      </c>
      <c r="F167" s="7" t="s">
        <v>124</v>
      </c>
      <c r="G167" s="114" t="s">
        <v>191</v>
      </c>
      <c r="H167" s="7" t="s">
        <v>14</v>
      </c>
      <c r="I167" s="64"/>
      <c r="J167" s="119">
        <v>30</v>
      </c>
      <c r="K167" s="138">
        <v>2465868</v>
      </c>
      <c r="L167" s="139">
        <v>2557954.36</v>
      </c>
      <c r="M167" s="140">
        <f t="shared" si="49"/>
        <v>255795.43599999999</v>
      </c>
      <c r="N167" s="140">
        <f t="shared" si="50"/>
        <v>48601.132839999998</v>
      </c>
      <c r="O167" s="140">
        <f t="shared" si="51"/>
        <v>2862350.9288400002</v>
      </c>
      <c r="P167" s="140">
        <f t="shared" si="40"/>
        <v>2862351</v>
      </c>
      <c r="Q167" s="141"/>
      <c r="R167" s="150">
        <v>1300000</v>
      </c>
      <c r="S167" s="150">
        <v>1358000</v>
      </c>
      <c r="T167" s="111" t="s">
        <v>841</v>
      </c>
      <c r="U167" s="140">
        <f t="shared" si="41"/>
        <v>2557954</v>
      </c>
      <c r="V167" s="188">
        <f t="shared" si="45"/>
        <v>255795.40000000002</v>
      </c>
      <c r="W167" s="188">
        <f t="shared" si="46"/>
        <v>48601.126000000004</v>
      </c>
      <c r="X167" s="188">
        <f t="shared" si="47"/>
        <v>2862351</v>
      </c>
      <c r="Y167" s="188">
        <f t="shared" si="48"/>
        <v>0</v>
      </c>
    </row>
    <row r="168" spans="1:25" ht="15.6" customHeight="1">
      <c r="A168" s="115" t="s">
        <v>670</v>
      </c>
      <c r="B168" s="119">
        <v>1084743310</v>
      </c>
      <c r="C168" s="7" t="s">
        <v>227</v>
      </c>
      <c r="D168" s="7" t="s">
        <v>228</v>
      </c>
      <c r="E168" s="7" t="s">
        <v>229</v>
      </c>
      <c r="F168" s="7" t="s">
        <v>230</v>
      </c>
      <c r="G168" s="114" t="s">
        <v>191</v>
      </c>
      <c r="H168" s="7" t="s">
        <v>14</v>
      </c>
      <c r="I168" s="64"/>
      <c r="J168" s="119">
        <v>30</v>
      </c>
      <c r="K168" s="138">
        <v>2465868</v>
      </c>
      <c r="L168" s="139">
        <v>2557954.36</v>
      </c>
      <c r="M168" s="140">
        <f t="shared" si="49"/>
        <v>255795.43599999999</v>
      </c>
      <c r="N168" s="140">
        <f t="shared" si="50"/>
        <v>48601.132839999998</v>
      </c>
      <c r="O168" s="140">
        <f t="shared" si="51"/>
        <v>2862350.9288400002</v>
      </c>
      <c r="P168" s="140">
        <f t="shared" si="40"/>
        <v>2862351</v>
      </c>
      <c r="Q168" s="141"/>
      <c r="R168" s="150">
        <v>1300000</v>
      </c>
      <c r="S168" s="150">
        <v>1358000</v>
      </c>
      <c r="T168" s="111" t="s">
        <v>841</v>
      </c>
      <c r="U168" s="140">
        <f t="shared" si="41"/>
        <v>2557954</v>
      </c>
      <c r="V168" s="188">
        <f t="shared" si="45"/>
        <v>255795.40000000002</v>
      </c>
      <c r="W168" s="188">
        <f t="shared" si="46"/>
        <v>48601.126000000004</v>
      </c>
      <c r="X168" s="188">
        <f t="shared" si="47"/>
        <v>2862351</v>
      </c>
      <c r="Y168" s="188">
        <f t="shared" si="48"/>
        <v>0</v>
      </c>
    </row>
    <row r="169" spans="1:25" ht="15.6" customHeight="1">
      <c r="A169" s="115" t="s">
        <v>671</v>
      </c>
      <c r="B169" s="119">
        <v>14191476</v>
      </c>
      <c r="C169" s="7" t="s">
        <v>50</v>
      </c>
      <c r="D169" s="7" t="s">
        <v>203</v>
      </c>
      <c r="E169" s="7" t="s">
        <v>204</v>
      </c>
      <c r="F169" s="7"/>
      <c r="G169" s="114" t="s">
        <v>89</v>
      </c>
      <c r="H169" s="7" t="s">
        <v>14</v>
      </c>
      <c r="I169" s="64"/>
      <c r="J169" s="119">
        <v>30</v>
      </c>
      <c r="K169" s="138">
        <v>2465868</v>
      </c>
      <c r="L169" s="139">
        <v>2557954.36</v>
      </c>
      <c r="M169" s="140">
        <f t="shared" si="49"/>
        <v>255795.43599999999</v>
      </c>
      <c r="N169" s="140">
        <f t="shared" si="50"/>
        <v>48601.132839999998</v>
      </c>
      <c r="O169" s="140">
        <f t="shared" si="51"/>
        <v>2862350.9288400002</v>
      </c>
      <c r="P169" s="140">
        <f t="shared" si="40"/>
        <v>2862351</v>
      </c>
      <c r="Q169" s="141"/>
      <c r="R169" s="150">
        <v>1390000</v>
      </c>
      <c r="S169" s="150">
        <v>1440800</v>
      </c>
      <c r="T169" s="111" t="s">
        <v>841</v>
      </c>
      <c r="U169" s="140">
        <f t="shared" si="41"/>
        <v>2557954</v>
      </c>
      <c r="V169" s="188">
        <f t="shared" si="45"/>
        <v>255795.40000000002</v>
      </c>
      <c r="W169" s="188">
        <f t="shared" si="46"/>
        <v>48601.126000000004</v>
      </c>
      <c r="X169" s="188">
        <f t="shared" si="47"/>
        <v>2862351</v>
      </c>
      <c r="Y169" s="188">
        <f t="shared" si="48"/>
        <v>0</v>
      </c>
    </row>
    <row r="170" spans="1:25" ht="11.25">
      <c r="A170" s="115" t="s">
        <v>671</v>
      </c>
      <c r="B170" s="119">
        <v>1021395108</v>
      </c>
      <c r="C170" s="7" t="s">
        <v>171</v>
      </c>
      <c r="D170" s="7" t="s">
        <v>220</v>
      </c>
      <c r="E170" s="7" t="s">
        <v>236</v>
      </c>
      <c r="F170" s="7" t="s">
        <v>237</v>
      </c>
      <c r="G170" s="114" t="s">
        <v>191</v>
      </c>
      <c r="H170" s="7" t="s">
        <v>14</v>
      </c>
      <c r="I170" s="64">
        <v>45486</v>
      </c>
      <c r="J170" s="119">
        <v>11</v>
      </c>
      <c r="K170" s="138">
        <v>2465868</v>
      </c>
      <c r="L170" s="139">
        <v>2557954.36</v>
      </c>
      <c r="M170" s="140">
        <f t="shared" si="49"/>
        <v>255795.43599999999</v>
      </c>
      <c r="N170" s="140">
        <f t="shared" si="50"/>
        <v>48601.132839999998</v>
      </c>
      <c r="O170" s="140">
        <f t="shared" si="51"/>
        <v>2862350.9288400002</v>
      </c>
      <c r="P170" s="140">
        <f t="shared" si="40"/>
        <v>1049529</v>
      </c>
      <c r="Q170" s="142" t="s">
        <v>848</v>
      </c>
      <c r="R170" s="149">
        <v>563334</v>
      </c>
      <c r="S170" s="150">
        <v>1340009</v>
      </c>
      <c r="T170" s="111" t="s">
        <v>847</v>
      </c>
      <c r="U170" s="140">
        <f t="shared" si="41"/>
        <v>937917</v>
      </c>
      <c r="V170" s="188">
        <f t="shared" si="45"/>
        <v>93791.700000000012</v>
      </c>
      <c r="W170" s="188">
        <f t="shared" si="46"/>
        <v>17820.423000000003</v>
      </c>
      <c r="X170" s="188">
        <f t="shared" si="47"/>
        <v>1049529</v>
      </c>
      <c r="Y170" s="188">
        <f t="shared" si="48"/>
        <v>0</v>
      </c>
    </row>
    <row r="171" spans="1:25" ht="15.6" customHeight="1">
      <c r="A171" s="115" t="s">
        <v>671</v>
      </c>
      <c r="B171" s="119">
        <v>52442600</v>
      </c>
      <c r="C171" s="7" t="s">
        <v>820</v>
      </c>
      <c r="D171" s="7" t="s">
        <v>90</v>
      </c>
      <c r="E171" s="7" t="s">
        <v>92</v>
      </c>
      <c r="F171" s="7" t="s">
        <v>821</v>
      </c>
      <c r="G171" s="114" t="s">
        <v>191</v>
      </c>
      <c r="H171" s="64">
        <v>45498</v>
      </c>
      <c r="I171" s="64"/>
      <c r="J171" s="119">
        <v>6</v>
      </c>
      <c r="K171" s="138">
        <v>2465868</v>
      </c>
      <c r="L171" s="139">
        <v>2557954.36</v>
      </c>
      <c r="M171" s="140">
        <f t="shared" ref="M171" si="59">+L171*10%</f>
        <v>255795.43599999999</v>
      </c>
      <c r="N171" s="140">
        <f t="shared" ref="N171" si="60">+M171*19%</f>
        <v>48601.132839999998</v>
      </c>
      <c r="O171" s="140">
        <f t="shared" ref="O171" si="61">+L171+M171+N171</f>
        <v>2862350.9288400002</v>
      </c>
      <c r="P171" s="140">
        <f t="shared" si="40"/>
        <v>572470</v>
      </c>
      <c r="Q171" s="142" t="s">
        <v>888</v>
      </c>
      <c r="R171" s="149">
        <v>260000</v>
      </c>
      <c r="S171" s="150">
        <v>271600</v>
      </c>
      <c r="T171" s="111" t="s">
        <v>858</v>
      </c>
      <c r="U171" s="140">
        <f t="shared" si="41"/>
        <v>511591</v>
      </c>
      <c r="V171" s="188">
        <f t="shared" si="45"/>
        <v>51159.100000000006</v>
      </c>
      <c r="W171" s="188">
        <f t="shared" si="46"/>
        <v>9720.2290000000012</v>
      </c>
      <c r="X171" s="188">
        <f t="shared" si="47"/>
        <v>572470</v>
      </c>
      <c r="Y171" s="188">
        <f t="shared" si="48"/>
        <v>0</v>
      </c>
    </row>
    <row r="172" spans="1:25" ht="15.6" customHeight="1">
      <c r="A172" s="115" t="s">
        <v>671</v>
      </c>
      <c r="B172" s="119">
        <v>52832379</v>
      </c>
      <c r="C172" s="7" t="s">
        <v>214</v>
      </c>
      <c r="D172" s="7" t="s">
        <v>217</v>
      </c>
      <c r="E172" s="7" t="s">
        <v>218</v>
      </c>
      <c r="F172" s="7" t="s">
        <v>219</v>
      </c>
      <c r="G172" s="114" t="s">
        <v>191</v>
      </c>
      <c r="H172" s="7" t="s">
        <v>14</v>
      </c>
      <c r="I172" s="64"/>
      <c r="J172" s="119">
        <v>30</v>
      </c>
      <c r="K172" s="138">
        <v>2465868</v>
      </c>
      <c r="L172" s="139">
        <v>2557954.36</v>
      </c>
      <c r="M172" s="140">
        <f t="shared" si="49"/>
        <v>255795.43599999999</v>
      </c>
      <c r="N172" s="140">
        <f t="shared" si="50"/>
        <v>48601.132839999998</v>
      </c>
      <c r="O172" s="140">
        <f t="shared" si="51"/>
        <v>2862350.9288400002</v>
      </c>
      <c r="P172" s="140">
        <f t="shared" si="40"/>
        <v>2862351</v>
      </c>
      <c r="Q172" s="141"/>
      <c r="R172" s="150">
        <v>1413043</v>
      </c>
      <c r="S172" s="150">
        <v>1461999</v>
      </c>
      <c r="T172" s="111" t="s">
        <v>841</v>
      </c>
      <c r="U172" s="140">
        <f t="shared" si="41"/>
        <v>2557954</v>
      </c>
      <c r="V172" s="188">
        <f t="shared" si="45"/>
        <v>255795.40000000002</v>
      </c>
      <c r="W172" s="188">
        <f t="shared" si="46"/>
        <v>48601.126000000004</v>
      </c>
      <c r="X172" s="188">
        <f t="shared" si="47"/>
        <v>2862351</v>
      </c>
      <c r="Y172" s="188">
        <f t="shared" si="48"/>
        <v>0</v>
      </c>
    </row>
    <row r="173" spans="1:25" ht="15.6" customHeight="1">
      <c r="A173" s="115" t="s">
        <v>671</v>
      </c>
      <c r="B173" s="119">
        <v>80194605</v>
      </c>
      <c r="C173" s="7" t="s">
        <v>427</v>
      </c>
      <c r="D173" s="7" t="s">
        <v>428</v>
      </c>
      <c r="E173" s="7" t="s">
        <v>429</v>
      </c>
      <c r="F173" s="7" t="s">
        <v>175</v>
      </c>
      <c r="G173" s="114" t="s">
        <v>13</v>
      </c>
      <c r="H173" s="7" t="s">
        <v>420</v>
      </c>
      <c r="I173" s="64">
        <v>45496</v>
      </c>
      <c r="J173" s="119">
        <v>22</v>
      </c>
      <c r="K173" s="138">
        <v>2465868</v>
      </c>
      <c r="L173" s="139">
        <v>2557954.36</v>
      </c>
      <c r="M173" s="140">
        <f t="shared" si="49"/>
        <v>255795.43599999999</v>
      </c>
      <c r="N173" s="140">
        <f t="shared" si="50"/>
        <v>48601.132839999998</v>
      </c>
      <c r="O173" s="140">
        <f t="shared" si="51"/>
        <v>2862350.9288400002</v>
      </c>
      <c r="P173" s="140">
        <f t="shared" si="40"/>
        <v>2099057</v>
      </c>
      <c r="Q173" s="142" t="s">
        <v>875</v>
      </c>
      <c r="R173" s="143">
        <v>1158334</v>
      </c>
      <c r="S173" s="150">
        <v>1966582</v>
      </c>
      <c r="T173" s="111" t="s">
        <v>847</v>
      </c>
      <c r="U173" s="140">
        <f t="shared" si="41"/>
        <v>1875833</v>
      </c>
      <c r="V173" s="188">
        <f t="shared" si="45"/>
        <v>187583.30000000002</v>
      </c>
      <c r="W173" s="188">
        <f t="shared" si="46"/>
        <v>35640.827000000005</v>
      </c>
      <c r="X173" s="188">
        <f t="shared" si="47"/>
        <v>2099057</v>
      </c>
      <c r="Y173" s="188">
        <f t="shared" si="48"/>
        <v>0</v>
      </c>
    </row>
    <row r="174" spans="1:25" ht="15.6" customHeight="1">
      <c r="A174" s="115" t="s">
        <v>671</v>
      </c>
      <c r="B174" s="119">
        <v>12200896</v>
      </c>
      <c r="C174" s="7" t="s">
        <v>749</v>
      </c>
      <c r="D174" s="7" t="s">
        <v>750</v>
      </c>
      <c r="E174" s="7" t="s">
        <v>25</v>
      </c>
      <c r="F174" s="7"/>
      <c r="G174" s="114" t="s">
        <v>13</v>
      </c>
      <c r="H174" s="64">
        <v>45429</v>
      </c>
      <c r="I174" s="64"/>
      <c r="J174" s="119">
        <v>30</v>
      </c>
      <c r="K174" s="138">
        <v>2465868</v>
      </c>
      <c r="L174" s="139">
        <v>2557954.36</v>
      </c>
      <c r="M174" s="140">
        <f t="shared" si="49"/>
        <v>255795.43599999999</v>
      </c>
      <c r="N174" s="140">
        <f t="shared" si="50"/>
        <v>48601.132839999998</v>
      </c>
      <c r="O174" s="140">
        <f t="shared" si="51"/>
        <v>2862350.9288400002</v>
      </c>
      <c r="P174" s="140">
        <f t="shared" si="40"/>
        <v>2862351</v>
      </c>
      <c r="Q174" s="141"/>
      <c r="R174" s="144">
        <v>1390000</v>
      </c>
      <c r="S174" s="150">
        <v>1440800</v>
      </c>
      <c r="T174" s="111" t="s">
        <v>851</v>
      </c>
      <c r="U174" s="140">
        <f t="shared" si="41"/>
        <v>2557954</v>
      </c>
      <c r="V174" s="188">
        <f t="shared" si="45"/>
        <v>255795.40000000002</v>
      </c>
      <c r="W174" s="188">
        <f t="shared" si="46"/>
        <v>48601.126000000004</v>
      </c>
      <c r="X174" s="188">
        <f t="shared" si="47"/>
        <v>2862351</v>
      </c>
      <c r="Y174" s="188">
        <f t="shared" si="48"/>
        <v>0</v>
      </c>
    </row>
    <row r="175" spans="1:25" ht="15.6" customHeight="1">
      <c r="A175" s="115" t="s">
        <v>671</v>
      </c>
      <c r="B175" s="119">
        <v>1082243640</v>
      </c>
      <c r="C175" s="7" t="s">
        <v>141</v>
      </c>
      <c r="D175" s="7" t="s">
        <v>142</v>
      </c>
      <c r="E175" s="7" t="s">
        <v>143</v>
      </c>
      <c r="F175" s="7"/>
      <c r="G175" s="114" t="s">
        <v>191</v>
      </c>
      <c r="H175" s="7" t="s">
        <v>14</v>
      </c>
      <c r="I175" s="64"/>
      <c r="J175" s="119">
        <v>30</v>
      </c>
      <c r="K175" s="138">
        <v>2465868</v>
      </c>
      <c r="L175" s="139">
        <v>2557954.36</v>
      </c>
      <c r="M175" s="140">
        <f t="shared" si="49"/>
        <v>255795.43599999999</v>
      </c>
      <c r="N175" s="140">
        <f t="shared" si="50"/>
        <v>48601.132839999998</v>
      </c>
      <c r="O175" s="140">
        <f t="shared" si="51"/>
        <v>2862350.9288400002</v>
      </c>
      <c r="P175" s="140">
        <f t="shared" si="40"/>
        <v>2862351</v>
      </c>
      <c r="Q175" s="141"/>
      <c r="R175" s="144">
        <v>1300000</v>
      </c>
      <c r="S175" s="142">
        <v>1358000</v>
      </c>
      <c r="T175" s="111" t="s">
        <v>841</v>
      </c>
      <c r="U175" s="140">
        <f t="shared" si="41"/>
        <v>2557954</v>
      </c>
      <c r="V175" s="188">
        <f t="shared" si="45"/>
        <v>255795.40000000002</v>
      </c>
      <c r="W175" s="188">
        <f t="shared" si="46"/>
        <v>48601.126000000004</v>
      </c>
      <c r="X175" s="188">
        <f t="shared" si="47"/>
        <v>2862351</v>
      </c>
      <c r="Y175" s="188">
        <f t="shared" si="48"/>
        <v>0</v>
      </c>
    </row>
    <row r="176" spans="1:25" ht="15.6" customHeight="1">
      <c r="A176" s="115" t="s">
        <v>672</v>
      </c>
      <c r="B176" s="119">
        <v>52746420</v>
      </c>
      <c r="C176" s="7" t="s">
        <v>281</v>
      </c>
      <c r="D176" s="7" t="s">
        <v>282</v>
      </c>
      <c r="E176" s="7" t="s">
        <v>283</v>
      </c>
      <c r="F176" s="7" t="s">
        <v>284</v>
      </c>
      <c r="G176" s="114" t="s">
        <v>191</v>
      </c>
      <c r="H176" s="7" t="s">
        <v>14</v>
      </c>
      <c r="I176" s="64"/>
      <c r="J176" s="119">
        <v>30</v>
      </c>
      <c r="K176" s="138">
        <v>2465868</v>
      </c>
      <c r="L176" s="139">
        <v>2557954.36</v>
      </c>
      <c r="M176" s="140">
        <f t="shared" si="49"/>
        <v>255795.43599999999</v>
      </c>
      <c r="N176" s="140">
        <f t="shared" si="50"/>
        <v>48601.132839999998</v>
      </c>
      <c r="O176" s="140">
        <f t="shared" si="51"/>
        <v>2862350.9288400002</v>
      </c>
      <c r="P176" s="140">
        <f t="shared" si="40"/>
        <v>2862351</v>
      </c>
      <c r="Q176" s="141"/>
      <c r="R176" s="150">
        <v>1300000</v>
      </c>
      <c r="S176" s="150">
        <v>1358000</v>
      </c>
      <c r="T176" s="111" t="s">
        <v>841</v>
      </c>
      <c r="U176" s="140">
        <f t="shared" si="41"/>
        <v>2557954</v>
      </c>
      <c r="V176" s="188">
        <f t="shared" si="45"/>
        <v>255795.40000000002</v>
      </c>
      <c r="W176" s="188">
        <f t="shared" si="46"/>
        <v>48601.126000000004</v>
      </c>
      <c r="X176" s="188">
        <f t="shared" si="47"/>
        <v>2862351</v>
      </c>
      <c r="Y176" s="188">
        <f t="shared" si="48"/>
        <v>0</v>
      </c>
    </row>
    <row r="177" spans="1:25" ht="15.6" customHeight="1">
      <c r="A177" s="115" t="s">
        <v>672</v>
      </c>
      <c r="B177" s="119">
        <v>52957218</v>
      </c>
      <c r="C177" s="7" t="s">
        <v>19</v>
      </c>
      <c r="D177" s="7" t="s">
        <v>287</v>
      </c>
      <c r="E177" s="7" t="s">
        <v>288</v>
      </c>
      <c r="F177" s="7" t="s">
        <v>120</v>
      </c>
      <c r="G177" s="114" t="s">
        <v>191</v>
      </c>
      <c r="H177" s="7" t="s">
        <v>14</v>
      </c>
      <c r="I177" s="64"/>
      <c r="J177" s="119">
        <v>30</v>
      </c>
      <c r="K177" s="138">
        <v>2465868</v>
      </c>
      <c r="L177" s="139">
        <v>2557954.36</v>
      </c>
      <c r="M177" s="140">
        <f t="shared" si="49"/>
        <v>255795.43599999999</v>
      </c>
      <c r="N177" s="140">
        <f t="shared" si="50"/>
        <v>48601.132839999998</v>
      </c>
      <c r="O177" s="140">
        <f t="shared" si="51"/>
        <v>2862350.9288400002</v>
      </c>
      <c r="P177" s="140">
        <f t="shared" si="40"/>
        <v>2862351</v>
      </c>
      <c r="Q177" s="141"/>
      <c r="R177" s="150">
        <v>1300000</v>
      </c>
      <c r="S177" s="150">
        <v>1358000</v>
      </c>
      <c r="T177" s="111" t="s">
        <v>841</v>
      </c>
      <c r="U177" s="140">
        <f t="shared" si="41"/>
        <v>2557954</v>
      </c>
      <c r="V177" s="188">
        <f t="shared" si="45"/>
        <v>255795.40000000002</v>
      </c>
      <c r="W177" s="188">
        <f t="shared" si="46"/>
        <v>48601.126000000004</v>
      </c>
      <c r="X177" s="188">
        <f t="shared" si="47"/>
        <v>2862351</v>
      </c>
      <c r="Y177" s="188">
        <f t="shared" si="48"/>
        <v>0</v>
      </c>
    </row>
    <row r="178" spans="1:25" ht="15.6" customHeight="1">
      <c r="A178" s="115" t="s">
        <v>672</v>
      </c>
      <c r="B178" s="119">
        <v>1023961022</v>
      </c>
      <c r="C178" s="7" t="s">
        <v>296</v>
      </c>
      <c r="D178" s="7" t="s">
        <v>297</v>
      </c>
      <c r="E178" s="7" t="s">
        <v>298</v>
      </c>
      <c r="F178" s="7"/>
      <c r="G178" s="114" t="s">
        <v>13</v>
      </c>
      <c r="H178" s="7" t="s">
        <v>14</v>
      </c>
      <c r="I178" s="64"/>
      <c r="J178" s="119">
        <v>16</v>
      </c>
      <c r="K178" s="138">
        <v>2465868</v>
      </c>
      <c r="L178" s="139">
        <v>2557954.36</v>
      </c>
      <c r="M178" s="140">
        <f t="shared" si="49"/>
        <v>255795.43599999999</v>
      </c>
      <c r="N178" s="140">
        <f t="shared" si="50"/>
        <v>48601.132839999998</v>
      </c>
      <c r="O178" s="140">
        <f t="shared" si="51"/>
        <v>2862350.9288400002</v>
      </c>
      <c r="P178" s="140">
        <f t="shared" si="40"/>
        <v>1526587</v>
      </c>
      <c r="Q178" s="142" t="s">
        <v>825</v>
      </c>
      <c r="R178" s="144">
        <v>1390000</v>
      </c>
      <c r="S178" s="150">
        <v>1318991</v>
      </c>
      <c r="T178" s="111" t="s">
        <v>841</v>
      </c>
      <c r="U178" s="140">
        <f t="shared" si="41"/>
        <v>1364242</v>
      </c>
      <c r="V178" s="188">
        <f t="shared" si="45"/>
        <v>136424.20000000001</v>
      </c>
      <c r="W178" s="188">
        <f t="shared" si="46"/>
        <v>25920.598000000002</v>
      </c>
      <c r="X178" s="188">
        <f t="shared" si="47"/>
        <v>1526587</v>
      </c>
      <c r="Y178" s="188">
        <f t="shared" si="48"/>
        <v>0</v>
      </c>
    </row>
    <row r="179" spans="1:25" ht="15.6" customHeight="1">
      <c r="A179" s="115" t="s">
        <v>672</v>
      </c>
      <c r="B179" s="119">
        <v>1026571694</v>
      </c>
      <c r="C179" s="7" t="s">
        <v>181</v>
      </c>
      <c r="D179" s="7" t="s">
        <v>360</v>
      </c>
      <c r="E179" s="7" t="s">
        <v>425</v>
      </c>
      <c r="F179" s="7" t="s">
        <v>12</v>
      </c>
      <c r="G179" s="114" t="s">
        <v>13</v>
      </c>
      <c r="H179" s="64">
        <v>45490</v>
      </c>
      <c r="I179" s="64"/>
      <c r="J179" s="119">
        <v>14</v>
      </c>
      <c r="K179" s="138">
        <v>2465868</v>
      </c>
      <c r="L179" s="139">
        <v>2557954.36</v>
      </c>
      <c r="M179" s="140">
        <f>+L179*10%</f>
        <v>255795.43599999999</v>
      </c>
      <c r="N179" s="140">
        <f>+M179*19%</f>
        <v>48601.132839999998</v>
      </c>
      <c r="O179" s="140">
        <f>+L179+M179+N179</f>
        <v>2862350.9288400002</v>
      </c>
      <c r="P179" s="140">
        <f>+ROUND(((O179/30)*J179),0)</f>
        <v>1335764</v>
      </c>
      <c r="Q179" s="142" t="s">
        <v>876</v>
      </c>
      <c r="R179" s="149">
        <v>648512</v>
      </c>
      <c r="S179" s="150">
        <v>672232</v>
      </c>
      <c r="T179" s="111" t="s">
        <v>851</v>
      </c>
      <c r="U179" s="140">
        <f>+ROUND(((L179/30)*J179),0)</f>
        <v>1193712</v>
      </c>
      <c r="V179" s="188">
        <f>+U179*10%</f>
        <v>119371.20000000001</v>
      </c>
      <c r="W179" s="188">
        <f>+V179*19%</f>
        <v>22680.528000000002</v>
      </c>
      <c r="X179" s="188">
        <f>+ROUND((U179+V179+W179),0)</f>
        <v>1335764</v>
      </c>
      <c r="Y179" s="188">
        <f>+X179-P179</f>
        <v>0</v>
      </c>
    </row>
    <row r="180" spans="1:25" ht="11.25">
      <c r="A180" s="115" t="s">
        <v>672</v>
      </c>
      <c r="B180" s="119">
        <v>1026265130</v>
      </c>
      <c r="C180" s="7" t="s">
        <v>312</v>
      </c>
      <c r="D180" s="7" t="s">
        <v>256</v>
      </c>
      <c r="E180" s="7" t="s">
        <v>315</v>
      </c>
      <c r="F180" s="7"/>
      <c r="G180" s="114" t="s">
        <v>191</v>
      </c>
      <c r="H180" s="7" t="s">
        <v>14</v>
      </c>
      <c r="I180" s="64"/>
      <c r="J180" s="119">
        <v>9</v>
      </c>
      <c r="K180" s="138">
        <v>2465868</v>
      </c>
      <c r="L180" s="139">
        <v>2557954.36</v>
      </c>
      <c r="M180" s="140">
        <f t="shared" si="49"/>
        <v>255795.43599999999</v>
      </c>
      <c r="N180" s="140">
        <f t="shared" si="50"/>
        <v>48601.132839999998</v>
      </c>
      <c r="O180" s="140">
        <f t="shared" si="51"/>
        <v>2862350.9288400002</v>
      </c>
      <c r="P180" s="140">
        <f t="shared" si="40"/>
        <v>858705</v>
      </c>
      <c r="Q180" s="142" t="s">
        <v>826</v>
      </c>
      <c r="R180" s="149">
        <f>390000+910000</f>
        <v>1300000</v>
      </c>
      <c r="S180" s="150">
        <v>283217</v>
      </c>
      <c r="T180" s="111" t="s">
        <v>841</v>
      </c>
      <c r="U180" s="140">
        <f t="shared" si="41"/>
        <v>767386</v>
      </c>
      <c r="V180" s="188">
        <f t="shared" si="45"/>
        <v>76738.600000000006</v>
      </c>
      <c r="W180" s="188">
        <f t="shared" si="46"/>
        <v>14580.334000000001</v>
      </c>
      <c r="X180" s="188">
        <f t="shared" si="47"/>
        <v>858705</v>
      </c>
      <c r="Y180" s="188">
        <f t="shared" si="48"/>
        <v>0</v>
      </c>
    </row>
    <row r="181" spans="1:25" ht="15.6" customHeight="1">
      <c r="A181" s="115" t="s">
        <v>672</v>
      </c>
      <c r="B181" s="119">
        <v>52011281</v>
      </c>
      <c r="C181" s="7" t="s">
        <v>270</v>
      </c>
      <c r="D181" s="7"/>
      <c r="E181" s="7" t="s">
        <v>754</v>
      </c>
      <c r="F181" s="7"/>
      <c r="G181" s="114" t="s">
        <v>410</v>
      </c>
      <c r="H181" s="7"/>
      <c r="I181" s="64"/>
      <c r="J181" s="119">
        <v>21</v>
      </c>
      <c r="K181" s="138">
        <v>2465868</v>
      </c>
      <c r="L181" s="139">
        <v>2557954.36</v>
      </c>
      <c r="M181" s="140">
        <f t="shared" ref="M181" si="62">+L181*10%</f>
        <v>255795.43599999999</v>
      </c>
      <c r="N181" s="140">
        <f t="shared" ref="N181" si="63">+M181*19%</f>
        <v>48601.132839999998</v>
      </c>
      <c r="O181" s="140">
        <f t="shared" ref="O181" si="64">+L181+M181+N181</f>
        <v>2862350.9288400002</v>
      </c>
      <c r="P181" s="140">
        <f t="shared" ref="P181" si="65">+ROUND(((O181/30)*J181),0)</f>
        <v>2003646</v>
      </c>
      <c r="Q181" s="142" t="s">
        <v>878</v>
      </c>
      <c r="R181" s="144">
        <v>1300000</v>
      </c>
      <c r="S181" s="150">
        <v>1358000</v>
      </c>
      <c r="T181" s="111" t="s">
        <v>857</v>
      </c>
      <c r="U181" s="140">
        <f t="shared" si="41"/>
        <v>1790568</v>
      </c>
      <c r="V181" s="188">
        <f t="shared" si="45"/>
        <v>179056.80000000002</v>
      </c>
      <c r="W181" s="188">
        <f t="shared" si="46"/>
        <v>34020.792000000001</v>
      </c>
      <c r="X181" s="188">
        <f t="shared" si="47"/>
        <v>2003646</v>
      </c>
      <c r="Y181" s="188">
        <f t="shared" si="48"/>
        <v>0</v>
      </c>
    </row>
    <row r="182" spans="1:25" ht="15.6" customHeight="1">
      <c r="A182" s="115" t="s">
        <v>673</v>
      </c>
      <c r="B182" s="119">
        <v>79557871</v>
      </c>
      <c r="C182" s="7" t="s">
        <v>96</v>
      </c>
      <c r="D182" s="7" t="s">
        <v>97</v>
      </c>
      <c r="E182" s="7" t="s">
        <v>98</v>
      </c>
      <c r="F182" s="7" t="s">
        <v>99</v>
      </c>
      <c r="G182" s="114" t="s">
        <v>13</v>
      </c>
      <c r="H182" s="7" t="s">
        <v>14</v>
      </c>
      <c r="I182" s="64"/>
      <c r="J182" s="119">
        <v>30</v>
      </c>
      <c r="K182" s="138">
        <v>2465868</v>
      </c>
      <c r="L182" s="139">
        <v>2557954.36</v>
      </c>
      <c r="M182" s="140">
        <f t="shared" si="49"/>
        <v>255795.43599999999</v>
      </c>
      <c r="N182" s="140">
        <f t="shared" si="50"/>
        <v>48601.132839999998</v>
      </c>
      <c r="O182" s="140">
        <f t="shared" si="51"/>
        <v>2862350.9288400002</v>
      </c>
      <c r="P182" s="140">
        <f t="shared" si="40"/>
        <v>2862351</v>
      </c>
      <c r="Q182" s="141"/>
      <c r="R182" s="144">
        <v>1390000</v>
      </c>
      <c r="S182" s="150">
        <v>1440800</v>
      </c>
      <c r="T182" s="111" t="s">
        <v>841</v>
      </c>
      <c r="U182" s="140">
        <f t="shared" si="41"/>
        <v>2557954</v>
      </c>
      <c r="V182" s="188">
        <f t="shared" si="45"/>
        <v>255795.40000000002</v>
      </c>
      <c r="W182" s="188">
        <f t="shared" si="46"/>
        <v>48601.126000000004</v>
      </c>
      <c r="X182" s="188">
        <f t="shared" si="47"/>
        <v>2862351</v>
      </c>
      <c r="Y182" s="188">
        <f t="shared" si="48"/>
        <v>0</v>
      </c>
    </row>
    <row r="183" spans="1:25" ht="15.6" customHeight="1">
      <c r="A183" s="115" t="s">
        <v>673</v>
      </c>
      <c r="B183" s="119">
        <v>1024566216</v>
      </c>
      <c r="C183" s="7" t="s">
        <v>166</v>
      </c>
      <c r="D183" s="7" t="s">
        <v>205</v>
      </c>
      <c r="E183" s="7" t="s">
        <v>206</v>
      </c>
      <c r="F183" s="7" t="s">
        <v>207</v>
      </c>
      <c r="G183" s="114" t="s">
        <v>191</v>
      </c>
      <c r="H183" s="7" t="s">
        <v>14</v>
      </c>
      <c r="I183" s="64"/>
      <c r="J183" s="119">
        <v>30</v>
      </c>
      <c r="K183" s="138">
        <v>2465868</v>
      </c>
      <c r="L183" s="139">
        <v>2557954.36</v>
      </c>
      <c r="M183" s="140">
        <f t="shared" si="49"/>
        <v>255795.43599999999</v>
      </c>
      <c r="N183" s="140">
        <f t="shared" si="50"/>
        <v>48601.132839999998</v>
      </c>
      <c r="O183" s="140">
        <f t="shared" si="51"/>
        <v>2862350.9288400002</v>
      </c>
      <c r="P183" s="140">
        <f t="shared" si="40"/>
        <v>2862351</v>
      </c>
      <c r="Q183" s="141"/>
      <c r="R183" s="150">
        <v>1300000</v>
      </c>
      <c r="S183" s="150">
        <v>1358000</v>
      </c>
      <c r="T183" s="111" t="s">
        <v>841</v>
      </c>
      <c r="U183" s="140">
        <f t="shared" si="41"/>
        <v>2557954</v>
      </c>
      <c r="V183" s="188">
        <f t="shared" si="45"/>
        <v>255795.40000000002</v>
      </c>
      <c r="W183" s="188">
        <f t="shared" si="46"/>
        <v>48601.126000000004</v>
      </c>
      <c r="X183" s="188">
        <f t="shared" si="47"/>
        <v>2862351</v>
      </c>
      <c r="Y183" s="188">
        <f t="shared" si="48"/>
        <v>0</v>
      </c>
    </row>
    <row r="184" spans="1:25" ht="15.6" customHeight="1">
      <c r="A184" s="115" t="s">
        <v>673</v>
      </c>
      <c r="B184" s="119">
        <v>1090447550</v>
      </c>
      <c r="C184" s="7" t="s">
        <v>355</v>
      </c>
      <c r="D184" s="7" t="s">
        <v>115</v>
      </c>
      <c r="E184" s="7" t="s">
        <v>356</v>
      </c>
      <c r="F184" s="7" t="s">
        <v>223</v>
      </c>
      <c r="G184" s="114" t="s">
        <v>191</v>
      </c>
      <c r="H184" s="7" t="s">
        <v>354</v>
      </c>
      <c r="I184" s="64"/>
      <c r="J184" s="119">
        <v>27</v>
      </c>
      <c r="K184" s="138">
        <v>2465868</v>
      </c>
      <c r="L184" s="139">
        <v>2557954.36</v>
      </c>
      <c r="M184" s="140">
        <f t="shared" si="49"/>
        <v>255795.43599999999</v>
      </c>
      <c r="N184" s="140">
        <f t="shared" si="50"/>
        <v>48601.132839999998</v>
      </c>
      <c r="O184" s="140">
        <f t="shared" si="51"/>
        <v>2862350.9288400002</v>
      </c>
      <c r="P184" s="140">
        <f>+ROUND(((O184/30)*J184),0)</f>
        <v>2576116</v>
      </c>
      <c r="Q184" s="142" t="s">
        <v>861</v>
      </c>
      <c r="R184" s="149">
        <f>1170000+86667+43334</f>
        <v>1300001</v>
      </c>
      <c r="S184" s="150">
        <v>1341801</v>
      </c>
      <c r="T184" s="111" t="s">
        <v>852</v>
      </c>
      <c r="U184" s="140">
        <f t="shared" si="41"/>
        <v>2302159</v>
      </c>
      <c r="V184" s="188">
        <f t="shared" si="45"/>
        <v>230215.90000000002</v>
      </c>
      <c r="W184" s="188">
        <f t="shared" si="46"/>
        <v>43741.021000000008</v>
      </c>
      <c r="X184" s="188">
        <f t="shared" si="47"/>
        <v>2576116</v>
      </c>
      <c r="Y184" s="188">
        <f t="shared" si="48"/>
        <v>0</v>
      </c>
    </row>
    <row r="185" spans="1:25" ht="15.6" customHeight="1">
      <c r="A185" s="115" t="s">
        <v>674</v>
      </c>
      <c r="B185" s="119">
        <v>51970521</v>
      </c>
      <c r="C185" s="7" t="s">
        <v>94</v>
      </c>
      <c r="D185" s="7" t="s">
        <v>184</v>
      </c>
      <c r="E185" s="7" t="s">
        <v>185</v>
      </c>
      <c r="F185" s="7"/>
      <c r="G185" s="114" t="s">
        <v>191</v>
      </c>
      <c r="H185" s="7" t="s">
        <v>14</v>
      </c>
      <c r="I185" s="64"/>
      <c r="J185" s="119">
        <v>30</v>
      </c>
      <c r="K185" s="138">
        <v>2465868</v>
      </c>
      <c r="L185" s="139">
        <v>2557954.36</v>
      </c>
      <c r="M185" s="140">
        <f t="shared" si="49"/>
        <v>255795.43599999999</v>
      </c>
      <c r="N185" s="140">
        <f t="shared" si="50"/>
        <v>48601.132839999998</v>
      </c>
      <c r="O185" s="140">
        <f t="shared" si="51"/>
        <v>2862350.9288400002</v>
      </c>
      <c r="P185" s="140">
        <f t="shared" ref="P185:P208" si="66">+ROUND(((O185/30)*J185),0)</f>
        <v>2862351</v>
      </c>
      <c r="Q185" s="141"/>
      <c r="R185" s="150">
        <v>1300000</v>
      </c>
      <c r="S185" s="150">
        <v>1358000</v>
      </c>
      <c r="T185" s="111" t="s">
        <v>852</v>
      </c>
      <c r="U185" s="140">
        <f t="shared" ref="U185:U208" si="67">+ROUND(((L185/30)*J185),0)</f>
        <v>2557954</v>
      </c>
      <c r="V185" s="188">
        <f t="shared" si="45"/>
        <v>255795.40000000002</v>
      </c>
      <c r="W185" s="188">
        <f t="shared" si="46"/>
        <v>48601.126000000004</v>
      </c>
      <c r="X185" s="188">
        <f t="shared" si="47"/>
        <v>2862351</v>
      </c>
      <c r="Y185" s="188">
        <f t="shared" si="48"/>
        <v>0</v>
      </c>
    </row>
    <row r="186" spans="1:25" ht="15.6" customHeight="1">
      <c r="A186" s="115" t="s">
        <v>674</v>
      </c>
      <c r="B186" s="119">
        <v>52239435</v>
      </c>
      <c r="C186" s="7" t="s">
        <v>274</v>
      </c>
      <c r="D186" s="7" t="s">
        <v>83</v>
      </c>
      <c r="E186" s="7" t="s">
        <v>275</v>
      </c>
      <c r="F186" s="7" t="s">
        <v>276</v>
      </c>
      <c r="G186" s="114" t="s">
        <v>191</v>
      </c>
      <c r="H186" s="7" t="s">
        <v>14</v>
      </c>
      <c r="I186" s="64"/>
      <c r="J186" s="119">
        <v>30</v>
      </c>
      <c r="K186" s="138">
        <v>2465868</v>
      </c>
      <c r="L186" s="139">
        <v>2557954.36</v>
      </c>
      <c r="M186" s="140">
        <f t="shared" si="49"/>
        <v>255795.43599999999</v>
      </c>
      <c r="N186" s="140">
        <f t="shared" si="50"/>
        <v>48601.132839999998</v>
      </c>
      <c r="O186" s="140">
        <f t="shared" si="51"/>
        <v>2862350.9288400002</v>
      </c>
      <c r="P186" s="140">
        <f t="shared" si="66"/>
        <v>2862351</v>
      </c>
      <c r="Q186" s="141"/>
      <c r="R186" s="150">
        <v>1300000</v>
      </c>
      <c r="S186" s="150">
        <v>1358000</v>
      </c>
      <c r="T186" s="111" t="s">
        <v>841</v>
      </c>
      <c r="U186" s="140">
        <f t="shared" si="67"/>
        <v>2557954</v>
      </c>
      <c r="V186" s="188">
        <f t="shared" ref="V186:V208" si="68">+U186*10%</f>
        <v>255795.40000000002</v>
      </c>
      <c r="W186" s="188">
        <f t="shared" ref="W186:W208" si="69">+V186*19%</f>
        <v>48601.126000000004</v>
      </c>
      <c r="X186" s="188">
        <f t="shared" ref="X186:X208" si="70">+ROUND((U186+V186+W186),0)</f>
        <v>2862351</v>
      </c>
      <c r="Y186" s="188">
        <f t="shared" ref="Y186:Y208" si="71">+X186-P186</f>
        <v>0</v>
      </c>
    </row>
    <row r="187" spans="1:25" ht="15.6" customHeight="1">
      <c r="A187" s="115" t="s">
        <v>674</v>
      </c>
      <c r="B187" s="119">
        <v>1033741958</v>
      </c>
      <c r="C187" s="7" t="s">
        <v>28</v>
      </c>
      <c r="D187" s="7" t="s">
        <v>29</v>
      </c>
      <c r="E187" s="7" t="s">
        <v>30</v>
      </c>
      <c r="F187" s="7" t="s">
        <v>31</v>
      </c>
      <c r="G187" s="114" t="s">
        <v>191</v>
      </c>
      <c r="H187" s="7" t="s">
        <v>14</v>
      </c>
      <c r="I187" s="64"/>
      <c r="J187" s="119">
        <v>30</v>
      </c>
      <c r="K187" s="138">
        <v>2465868</v>
      </c>
      <c r="L187" s="139">
        <v>2557954.36</v>
      </c>
      <c r="M187" s="140">
        <f t="shared" si="49"/>
        <v>255795.43599999999</v>
      </c>
      <c r="N187" s="140">
        <f t="shared" si="50"/>
        <v>48601.132839999998</v>
      </c>
      <c r="O187" s="140">
        <f t="shared" si="51"/>
        <v>2862350.9288400002</v>
      </c>
      <c r="P187" s="140">
        <f t="shared" si="66"/>
        <v>2862351</v>
      </c>
      <c r="Q187" s="141"/>
      <c r="R187" s="150">
        <v>1300000</v>
      </c>
      <c r="S187" s="150">
        <v>1358000</v>
      </c>
      <c r="T187" s="111" t="s">
        <v>841</v>
      </c>
      <c r="U187" s="140">
        <f t="shared" si="67"/>
        <v>2557954</v>
      </c>
      <c r="V187" s="188">
        <f t="shared" si="68"/>
        <v>255795.40000000002</v>
      </c>
      <c r="W187" s="188">
        <f t="shared" si="69"/>
        <v>48601.126000000004</v>
      </c>
      <c r="X187" s="188">
        <f t="shared" si="70"/>
        <v>2862351</v>
      </c>
      <c r="Y187" s="188">
        <f t="shared" si="71"/>
        <v>0</v>
      </c>
    </row>
    <row r="188" spans="1:25" ht="15.6" customHeight="1">
      <c r="A188" s="115" t="s">
        <v>675</v>
      </c>
      <c r="B188" s="119">
        <v>80257964</v>
      </c>
      <c r="C188" s="7" t="s">
        <v>35</v>
      </c>
      <c r="D188" s="7" t="s">
        <v>104</v>
      </c>
      <c r="E188" s="7" t="s">
        <v>226</v>
      </c>
      <c r="F188" s="7" t="s">
        <v>323</v>
      </c>
      <c r="G188" s="114" t="s">
        <v>13</v>
      </c>
      <c r="H188" s="64">
        <v>45439</v>
      </c>
      <c r="I188" s="64">
        <v>45500</v>
      </c>
      <c r="J188" s="119">
        <v>23</v>
      </c>
      <c r="K188" s="138">
        <v>2465868</v>
      </c>
      <c r="L188" s="139">
        <v>2557954.36</v>
      </c>
      <c r="M188" s="140">
        <f t="shared" si="49"/>
        <v>255795.43599999999</v>
      </c>
      <c r="N188" s="140">
        <f t="shared" si="50"/>
        <v>48601.132839999998</v>
      </c>
      <c r="O188" s="140">
        <f t="shared" si="51"/>
        <v>2862350.9288400002</v>
      </c>
      <c r="P188" s="140">
        <f t="shared" si="66"/>
        <v>2194469</v>
      </c>
      <c r="Q188" s="142" t="s">
        <v>874</v>
      </c>
      <c r="R188" s="147">
        <f>1065667+46334+46334+92667</f>
        <v>1251002</v>
      </c>
      <c r="S188" s="142">
        <f>1147241+475530</f>
        <v>1622771</v>
      </c>
      <c r="T188" s="111" t="s">
        <v>873</v>
      </c>
      <c r="U188" s="140">
        <f t="shared" si="67"/>
        <v>1961098</v>
      </c>
      <c r="V188" s="188">
        <f t="shared" si="68"/>
        <v>196109.80000000002</v>
      </c>
      <c r="W188" s="188">
        <f t="shared" si="69"/>
        <v>37260.862000000001</v>
      </c>
      <c r="X188" s="188">
        <f t="shared" si="70"/>
        <v>2194469</v>
      </c>
      <c r="Y188" s="188">
        <f t="shared" si="71"/>
        <v>0</v>
      </c>
    </row>
    <row r="189" spans="1:25" ht="15.6" customHeight="1">
      <c r="A189" s="115" t="s">
        <v>675</v>
      </c>
      <c r="B189" s="119">
        <v>1007725189</v>
      </c>
      <c r="C189" s="7" t="s">
        <v>114</v>
      </c>
      <c r="D189" s="7" t="s">
        <v>370</v>
      </c>
      <c r="E189" s="7" t="s">
        <v>371</v>
      </c>
      <c r="F189" s="7" t="s">
        <v>146</v>
      </c>
      <c r="G189" s="114" t="s">
        <v>191</v>
      </c>
      <c r="H189" s="7" t="s">
        <v>354</v>
      </c>
      <c r="I189" s="64"/>
      <c r="J189" s="119">
        <v>30</v>
      </c>
      <c r="K189" s="138">
        <v>2465868</v>
      </c>
      <c r="L189" s="139">
        <v>2557954.36</v>
      </c>
      <c r="M189" s="140">
        <f t="shared" si="49"/>
        <v>255795.43599999999</v>
      </c>
      <c r="N189" s="140">
        <f t="shared" si="50"/>
        <v>48601.132839999998</v>
      </c>
      <c r="O189" s="140">
        <f t="shared" si="51"/>
        <v>2862350.9288400002</v>
      </c>
      <c r="P189" s="140">
        <f t="shared" si="66"/>
        <v>2862351</v>
      </c>
      <c r="Q189" s="141"/>
      <c r="R189" s="150">
        <v>1300000</v>
      </c>
      <c r="S189" s="150">
        <v>1358000</v>
      </c>
      <c r="T189" s="111" t="s">
        <v>851</v>
      </c>
      <c r="U189" s="140">
        <f t="shared" si="67"/>
        <v>2557954</v>
      </c>
      <c r="V189" s="188">
        <f t="shared" si="68"/>
        <v>255795.40000000002</v>
      </c>
      <c r="W189" s="188">
        <f t="shared" si="69"/>
        <v>48601.126000000004</v>
      </c>
      <c r="X189" s="188">
        <f t="shared" si="70"/>
        <v>2862351</v>
      </c>
      <c r="Y189" s="188">
        <f t="shared" si="71"/>
        <v>0</v>
      </c>
    </row>
    <row r="190" spans="1:25" ht="15.6" customHeight="1">
      <c r="A190" s="115" t="s">
        <v>675</v>
      </c>
      <c r="B190" s="119">
        <v>1013657628</v>
      </c>
      <c r="C190" s="7" t="s">
        <v>168</v>
      </c>
      <c r="D190" s="7" t="s">
        <v>171</v>
      </c>
      <c r="E190" s="7" t="s">
        <v>172</v>
      </c>
      <c r="F190" s="7"/>
      <c r="G190" s="114" t="s">
        <v>191</v>
      </c>
      <c r="H190" s="7" t="s">
        <v>14</v>
      </c>
      <c r="I190" s="64"/>
      <c r="J190" s="119">
        <v>30</v>
      </c>
      <c r="K190" s="138">
        <v>2465868</v>
      </c>
      <c r="L190" s="139">
        <v>2557954.36</v>
      </c>
      <c r="M190" s="140">
        <f t="shared" ref="M190:M198" si="72">+L190*10%</f>
        <v>255795.43599999999</v>
      </c>
      <c r="N190" s="140">
        <f t="shared" ref="N190:N198" si="73">+M190*19%</f>
        <v>48601.132839999998</v>
      </c>
      <c r="O190" s="140">
        <f t="shared" ref="O190:O198" si="74">+L190+M190+N190</f>
        <v>2862350.9288400002</v>
      </c>
      <c r="P190" s="140">
        <f t="shared" si="66"/>
        <v>2862351</v>
      </c>
      <c r="Q190" s="141"/>
      <c r="R190" s="150">
        <v>1300000</v>
      </c>
      <c r="S190" s="150">
        <v>1358000</v>
      </c>
      <c r="T190" s="111" t="s">
        <v>841</v>
      </c>
      <c r="U190" s="140">
        <f t="shared" si="67"/>
        <v>2557954</v>
      </c>
      <c r="V190" s="188">
        <f t="shared" si="68"/>
        <v>255795.40000000002</v>
      </c>
      <c r="W190" s="188">
        <f t="shared" si="69"/>
        <v>48601.126000000004</v>
      </c>
      <c r="X190" s="188">
        <f t="shared" si="70"/>
        <v>2862351</v>
      </c>
      <c r="Y190" s="188">
        <f t="shared" si="71"/>
        <v>0</v>
      </c>
    </row>
    <row r="191" spans="1:25" ht="15.6" customHeight="1">
      <c r="A191" s="115" t="s">
        <v>675</v>
      </c>
      <c r="B191" s="119">
        <v>5026864</v>
      </c>
      <c r="C191" s="7" t="s">
        <v>80</v>
      </c>
      <c r="D191" s="7" t="s">
        <v>81</v>
      </c>
      <c r="E191" s="7" t="s">
        <v>82</v>
      </c>
      <c r="F191" s="7"/>
      <c r="G191" s="114" t="s">
        <v>191</v>
      </c>
      <c r="H191" s="7" t="s">
        <v>14</v>
      </c>
      <c r="I191" s="64"/>
      <c r="J191" s="119">
        <v>25</v>
      </c>
      <c r="K191" s="138">
        <v>2465868</v>
      </c>
      <c r="L191" s="139">
        <v>2557954.36</v>
      </c>
      <c r="M191" s="140">
        <f>+L191*10%</f>
        <v>255795.43599999999</v>
      </c>
      <c r="N191" s="140">
        <f>+M191*19%</f>
        <v>48601.132839999998</v>
      </c>
      <c r="O191" s="140">
        <f>+L191+M191+N191</f>
        <v>2862350.9288400002</v>
      </c>
      <c r="P191" s="140">
        <f>+ROUND(((O191/30)*J191),0)</f>
        <v>2385292</v>
      </c>
      <c r="Q191" s="142" t="s">
        <v>866</v>
      </c>
      <c r="R191" s="143">
        <f>1083334+86667+130001</f>
        <v>1300002</v>
      </c>
      <c r="S191" s="150">
        <v>1131667</v>
      </c>
      <c r="T191" s="111" t="s">
        <v>852</v>
      </c>
      <c r="U191" s="140">
        <f>+ROUND(((L191/30)*J191),0)</f>
        <v>2131629</v>
      </c>
      <c r="V191" s="188">
        <f t="shared" si="68"/>
        <v>213162.90000000002</v>
      </c>
      <c r="W191" s="188">
        <f t="shared" si="69"/>
        <v>40500.951000000008</v>
      </c>
      <c r="X191" s="188">
        <f t="shared" si="70"/>
        <v>2385293</v>
      </c>
      <c r="Y191" s="188">
        <f t="shared" si="71"/>
        <v>1</v>
      </c>
    </row>
    <row r="192" spans="1:25" ht="15.6" customHeight="1">
      <c r="A192" s="115" t="s">
        <v>676</v>
      </c>
      <c r="B192" s="119">
        <v>34951119</v>
      </c>
      <c r="C192" s="7" t="s">
        <v>100</v>
      </c>
      <c r="D192" s="7" t="s">
        <v>101</v>
      </c>
      <c r="E192" s="7" t="s">
        <v>102</v>
      </c>
      <c r="F192" s="7" t="s">
        <v>103</v>
      </c>
      <c r="G192" s="114" t="s">
        <v>191</v>
      </c>
      <c r="H192" s="7" t="s">
        <v>14</v>
      </c>
      <c r="I192" s="64"/>
      <c r="J192" s="119">
        <v>30</v>
      </c>
      <c r="K192" s="138">
        <v>2465868</v>
      </c>
      <c r="L192" s="139">
        <v>2557954.36</v>
      </c>
      <c r="M192" s="140">
        <f t="shared" si="72"/>
        <v>255795.43599999999</v>
      </c>
      <c r="N192" s="140">
        <f t="shared" si="73"/>
        <v>48601.132839999998</v>
      </c>
      <c r="O192" s="140">
        <f t="shared" si="74"/>
        <v>2862350.9288400002</v>
      </c>
      <c r="P192" s="140">
        <f t="shared" si="66"/>
        <v>2862351</v>
      </c>
      <c r="Q192" s="141"/>
      <c r="R192" s="150">
        <v>1300000</v>
      </c>
      <c r="S192" s="150">
        <v>1358000</v>
      </c>
      <c r="T192" s="111" t="s">
        <v>852</v>
      </c>
      <c r="U192" s="140">
        <f t="shared" si="67"/>
        <v>2557954</v>
      </c>
      <c r="V192" s="188">
        <f t="shared" si="68"/>
        <v>255795.40000000002</v>
      </c>
      <c r="W192" s="188">
        <f t="shared" si="69"/>
        <v>48601.126000000004</v>
      </c>
      <c r="X192" s="188">
        <f t="shared" si="70"/>
        <v>2862351</v>
      </c>
      <c r="Y192" s="188">
        <f t="shared" si="71"/>
        <v>0</v>
      </c>
    </row>
    <row r="193" spans="1:25" ht="15.6" customHeight="1">
      <c r="A193" s="115" t="s">
        <v>676</v>
      </c>
      <c r="B193" s="119">
        <v>52897266</v>
      </c>
      <c r="C193" s="7" t="s">
        <v>69</v>
      </c>
      <c r="D193" s="7" t="s">
        <v>73</v>
      </c>
      <c r="E193" s="7" t="s">
        <v>74</v>
      </c>
      <c r="F193" s="7" t="s">
        <v>75</v>
      </c>
      <c r="G193" s="114" t="s">
        <v>191</v>
      </c>
      <c r="H193" s="7" t="s">
        <v>14</v>
      </c>
      <c r="I193" s="64"/>
      <c r="J193" s="119">
        <v>30</v>
      </c>
      <c r="K193" s="138">
        <v>2465868</v>
      </c>
      <c r="L193" s="139">
        <v>2557954.36</v>
      </c>
      <c r="M193" s="140">
        <f t="shared" si="72"/>
        <v>255795.43599999999</v>
      </c>
      <c r="N193" s="140">
        <f t="shared" si="73"/>
        <v>48601.132839999998</v>
      </c>
      <c r="O193" s="140">
        <f t="shared" si="74"/>
        <v>2862350.9288400002</v>
      </c>
      <c r="P193" s="140">
        <f t="shared" si="66"/>
        <v>2862351</v>
      </c>
      <c r="Q193" s="141"/>
      <c r="R193" s="150">
        <v>1300000</v>
      </c>
      <c r="S193" s="150">
        <v>1358000</v>
      </c>
      <c r="T193" s="111" t="s">
        <v>841</v>
      </c>
      <c r="U193" s="140">
        <f t="shared" si="67"/>
        <v>2557954</v>
      </c>
      <c r="V193" s="188">
        <f t="shared" si="68"/>
        <v>255795.40000000002</v>
      </c>
      <c r="W193" s="188">
        <f t="shared" si="69"/>
        <v>48601.126000000004</v>
      </c>
      <c r="X193" s="188">
        <f t="shared" si="70"/>
        <v>2862351</v>
      </c>
      <c r="Y193" s="188">
        <f t="shared" si="71"/>
        <v>0</v>
      </c>
    </row>
    <row r="194" spans="1:25" ht="15.6" customHeight="1">
      <c r="A194" s="115" t="s">
        <v>677</v>
      </c>
      <c r="B194" s="119">
        <v>52759800</v>
      </c>
      <c r="C194" s="7" t="s">
        <v>100</v>
      </c>
      <c r="D194" s="7" t="s">
        <v>104</v>
      </c>
      <c r="E194" s="7" t="s">
        <v>105</v>
      </c>
      <c r="F194" s="7" t="s">
        <v>106</v>
      </c>
      <c r="G194" s="114" t="s">
        <v>191</v>
      </c>
      <c r="H194" s="7" t="s">
        <v>14</v>
      </c>
      <c r="I194" s="64"/>
      <c r="J194" s="119">
        <v>30</v>
      </c>
      <c r="K194" s="138">
        <v>2465868</v>
      </c>
      <c r="L194" s="139">
        <v>2557954.36</v>
      </c>
      <c r="M194" s="140">
        <f t="shared" si="72"/>
        <v>255795.43599999999</v>
      </c>
      <c r="N194" s="140">
        <f t="shared" si="73"/>
        <v>48601.132839999998</v>
      </c>
      <c r="O194" s="140">
        <f t="shared" si="74"/>
        <v>2862350.9288400002</v>
      </c>
      <c r="P194" s="140">
        <f t="shared" si="66"/>
        <v>2862351</v>
      </c>
      <c r="Q194" s="141"/>
      <c r="R194" s="150">
        <v>1300000</v>
      </c>
      <c r="S194" s="150">
        <v>1358000</v>
      </c>
      <c r="T194" s="111" t="s">
        <v>841</v>
      </c>
      <c r="U194" s="140">
        <f t="shared" si="67"/>
        <v>2557954</v>
      </c>
      <c r="V194" s="188">
        <f t="shared" si="68"/>
        <v>255795.40000000002</v>
      </c>
      <c r="W194" s="188">
        <f t="shared" si="69"/>
        <v>48601.126000000004</v>
      </c>
      <c r="X194" s="188">
        <f t="shared" si="70"/>
        <v>2862351</v>
      </c>
      <c r="Y194" s="188">
        <f t="shared" si="71"/>
        <v>0</v>
      </c>
    </row>
    <row r="195" spans="1:25" ht="15.6" customHeight="1">
      <c r="A195" s="115" t="s">
        <v>677</v>
      </c>
      <c r="B195" s="119">
        <v>1002230033</v>
      </c>
      <c r="C195" s="7" t="s">
        <v>188</v>
      </c>
      <c r="D195" s="7" t="s">
        <v>189</v>
      </c>
      <c r="E195" s="7" t="s">
        <v>190</v>
      </c>
      <c r="F195" s="7"/>
      <c r="G195" s="114" t="s">
        <v>191</v>
      </c>
      <c r="H195" s="7" t="s">
        <v>14</v>
      </c>
      <c r="I195" s="64"/>
      <c r="J195" s="119">
        <v>2</v>
      </c>
      <c r="K195" s="138">
        <v>2465868</v>
      </c>
      <c r="L195" s="139">
        <v>2557954.36</v>
      </c>
      <c r="M195" s="140">
        <f t="shared" si="72"/>
        <v>255795.43599999999</v>
      </c>
      <c r="N195" s="140">
        <f t="shared" si="73"/>
        <v>48601.132839999998</v>
      </c>
      <c r="O195" s="140">
        <f t="shared" si="74"/>
        <v>2862350.9288400002</v>
      </c>
      <c r="P195" s="140">
        <f t="shared" si="66"/>
        <v>190823</v>
      </c>
      <c r="Q195" s="142" t="s">
        <v>868</v>
      </c>
      <c r="R195" s="149">
        <f>86667+86667+216667+303334+303334+303334</f>
        <v>1300003</v>
      </c>
      <c r="S195" s="150">
        <v>927735</v>
      </c>
      <c r="T195" s="111" t="s">
        <v>841</v>
      </c>
      <c r="U195" s="140">
        <f t="shared" si="67"/>
        <v>170530</v>
      </c>
      <c r="V195" s="188">
        <f t="shared" si="68"/>
        <v>17053</v>
      </c>
      <c r="W195" s="188">
        <f t="shared" si="69"/>
        <v>3240.07</v>
      </c>
      <c r="X195" s="188">
        <f t="shared" si="70"/>
        <v>190823</v>
      </c>
      <c r="Y195" s="188">
        <f t="shared" si="71"/>
        <v>0</v>
      </c>
    </row>
    <row r="196" spans="1:25" ht="15.6" customHeight="1">
      <c r="A196" s="115" t="s">
        <v>677</v>
      </c>
      <c r="B196" s="119">
        <v>6089430</v>
      </c>
      <c r="C196" s="7" t="s">
        <v>168</v>
      </c>
      <c r="D196" s="7" t="s">
        <v>403</v>
      </c>
      <c r="E196" s="7" t="s">
        <v>404</v>
      </c>
      <c r="F196" s="7" t="s">
        <v>405</v>
      </c>
      <c r="G196" s="114" t="s">
        <v>191</v>
      </c>
      <c r="H196" s="7" t="s">
        <v>393</v>
      </c>
      <c r="I196" s="64"/>
      <c r="J196" s="119">
        <v>5</v>
      </c>
      <c r="K196" s="138">
        <v>2465868</v>
      </c>
      <c r="L196" s="139">
        <v>2557954.36</v>
      </c>
      <c r="M196" s="140">
        <f t="shared" si="72"/>
        <v>255795.43599999999</v>
      </c>
      <c r="N196" s="140">
        <f t="shared" si="73"/>
        <v>48601.132839999998</v>
      </c>
      <c r="O196" s="140">
        <f t="shared" si="74"/>
        <v>2862350.9288400002</v>
      </c>
      <c r="P196" s="140">
        <f t="shared" si="66"/>
        <v>477058</v>
      </c>
      <c r="Q196" s="142" t="s">
        <v>869</v>
      </c>
      <c r="R196" s="144">
        <v>1300000</v>
      </c>
      <c r="S196" s="150">
        <v>1358000</v>
      </c>
      <c r="T196" s="111" t="s">
        <v>852</v>
      </c>
      <c r="U196" s="140">
        <f t="shared" si="67"/>
        <v>426326</v>
      </c>
      <c r="V196" s="188">
        <f t="shared" si="68"/>
        <v>42632.600000000006</v>
      </c>
      <c r="W196" s="188">
        <f t="shared" si="69"/>
        <v>8100.1940000000013</v>
      </c>
      <c r="X196" s="188">
        <f t="shared" si="70"/>
        <v>477059</v>
      </c>
      <c r="Y196" s="188">
        <f t="shared" si="71"/>
        <v>1</v>
      </c>
    </row>
    <row r="197" spans="1:25" ht="15.6" customHeight="1">
      <c r="A197" s="115" t="s">
        <v>677</v>
      </c>
      <c r="B197" s="119">
        <v>1019029467</v>
      </c>
      <c r="C197" s="7" t="s">
        <v>19</v>
      </c>
      <c r="D197" s="7" t="s">
        <v>28</v>
      </c>
      <c r="E197" s="7" t="s">
        <v>110</v>
      </c>
      <c r="F197" s="7"/>
      <c r="G197" s="114" t="s">
        <v>410</v>
      </c>
      <c r="H197" s="7"/>
      <c r="I197" s="64"/>
      <c r="J197" s="119">
        <v>16</v>
      </c>
      <c r="K197" s="138">
        <v>2465868</v>
      </c>
      <c r="L197" s="139">
        <v>2557954.36</v>
      </c>
      <c r="M197" s="140">
        <f t="shared" ref="M197" si="75">+L197*10%</f>
        <v>255795.43599999999</v>
      </c>
      <c r="N197" s="140">
        <f t="shared" ref="N197" si="76">+M197*19%</f>
        <v>48601.132839999998</v>
      </c>
      <c r="O197" s="140">
        <f t="shared" ref="O197" si="77">+L197+M197+N197</f>
        <v>2862350.9288400002</v>
      </c>
      <c r="P197" s="140">
        <f t="shared" si="66"/>
        <v>1526587</v>
      </c>
      <c r="Q197" s="142" t="s">
        <v>867</v>
      </c>
      <c r="R197" s="149">
        <v>823334</v>
      </c>
      <c r="S197" s="150">
        <v>860067</v>
      </c>
      <c r="T197" s="111" t="s">
        <v>851</v>
      </c>
      <c r="U197" s="140">
        <f t="shared" si="67"/>
        <v>1364242</v>
      </c>
      <c r="V197" s="188">
        <f t="shared" si="68"/>
        <v>136424.20000000001</v>
      </c>
      <c r="W197" s="188">
        <f t="shared" si="69"/>
        <v>25920.598000000002</v>
      </c>
      <c r="X197" s="188">
        <f t="shared" si="70"/>
        <v>1526587</v>
      </c>
      <c r="Y197" s="188">
        <f t="shared" si="71"/>
        <v>0</v>
      </c>
    </row>
    <row r="198" spans="1:25" ht="15.6" customHeight="1">
      <c r="A198" s="115"/>
      <c r="B198" s="120">
        <v>79670360</v>
      </c>
      <c r="C198" s="7" t="s">
        <v>780</v>
      </c>
      <c r="D198" s="7" t="s">
        <v>212</v>
      </c>
      <c r="E198" s="7" t="s">
        <v>781</v>
      </c>
      <c r="F198" s="7" t="s">
        <v>782</v>
      </c>
      <c r="G198" s="114"/>
      <c r="H198" s="7"/>
      <c r="I198" s="64"/>
      <c r="J198" s="119">
        <v>0</v>
      </c>
      <c r="K198" s="138">
        <v>2465868</v>
      </c>
      <c r="L198" s="139">
        <v>2557954.36</v>
      </c>
      <c r="M198" s="140">
        <f t="shared" si="72"/>
        <v>255795.43599999999</v>
      </c>
      <c r="N198" s="140">
        <f t="shared" si="73"/>
        <v>48601.132839999998</v>
      </c>
      <c r="O198" s="140">
        <f t="shared" si="74"/>
        <v>2862350.9288400002</v>
      </c>
      <c r="P198" s="140">
        <f t="shared" si="66"/>
        <v>0</v>
      </c>
      <c r="Q198" s="142" t="s">
        <v>881</v>
      </c>
      <c r="R198" s="149">
        <f>92667+260000+260000+736667</f>
        <v>1349334</v>
      </c>
      <c r="S198" s="150">
        <v>1214268</v>
      </c>
      <c r="T198" s="111" t="s">
        <v>841</v>
      </c>
      <c r="U198" s="140">
        <f t="shared" si="67"/>
        <v>0</v>
      </c>
      <c r="V198" s="188">
        <f t="shared" si="68"/>
        <v>0</v>
      </c>
      <c r="W198" s="188">
        <f t="shared" si="69"/>
        <v>0</v>
      </c>
      <c r="X198" s="188">
        <f t="shared" si="70"/>
        <v>0</v>
      </c>
      <c r="Y198" s="188">
        <f t="shared" si="71"/>
        <v>0</v>
      </c>
    </row>
    <row r="199" spans="1:25" ht="15.6" customHeight="1">
      <c r="A199" s="115"/>
      <c r="B199" s="120">
        <v>72046791</v>
      </c>
      <c r="C199" s="7" t="s">
        <v>114</v>
      </c>
      <c r="D199" s="7" t="s">
        <v>800</v>
      </c>
      <c r="E199" s="7" t="s">
        <v>801</v>
      </c>
      <c r="F199" s="7" t="s">
        <v>175</v>
      </c>
      <c r="G199" s="114"/>
      <c r="H199" s="64">
        <v>45447</v>
      </c>
      <c r="I199" s="64"/>
      <c r="J199" s="119">
        <v>0</v>
      </c>
      <c r="K199" s="138">
        <v>2465868</v>
      </c>
      <c r="L199" s="139">
        <v>2557954.36</v>
      </c>
      <c r="M199" s="140">
        <f t="shared" ref="M199:M200" si="78">+L199*10%</f>
        <v>255795.43599999999</v>
      </c>
      <c r="N199" s="140">
        <f t="shared" ref="N199:N200" si="79">+M199*19%</f>
        <v>48601.132839999998</v>
      </c>
      <c r="O199" s="140">
        <f t="shared" ref="O199:O200" si="80">+L199+M199+N199</f>
        <v>2862350.9288400002</v>
      </c>
      <c r="P199" s="140">
        <f t="shared" si="66"/>
        <v>0</v>
      </c>
      <c r="Q199" s="142" t="s">
        <v>882</v>
      </c>
      <c r="R199" s="150">
        <v>1390000</v>
      </c>
      <c r="S199" s="150">
        <v>1440800</v>
      </c>
      <c r="T199" s="116" t="s">
        <v>852</v>
      </c>
      <c r="U199" s="140">
        <f t="shared" si="67"/>
        <v>0</v>
      </c>
      <c r="V199" s="188">
        <f t="shared" si="68"/>
        <v>0</v>
      </c>
      <c r="W199" s="188">
        <f t="shared" si="69"/>
        <v>0</v>
      </c>
      <c r="X199" s="188">
        <f t="shared" si="70"/>
        <v>0</v>
      </c>
      <c r="Y199" s="188">
        <f t="shared" si="71"/>
        <v>0</v>
      </c>
    </row>
    <row r="200" spans="1:25" ht="15.6" customHeight="1">
      <c r="A200" s="115"/>
      <c r="B200" s="120">
        <v>52316756</v>
      </c>
      <c r="C200" s="7" t="s">
        <v>35</v>
      </c>
      <c r="D200" s="7" t="s">
        <v>741</v>
      </c>
      <c r="E200" s="7" t="s">
        <v>288</v>
      </c>
      <c r="F200" s="7"/>
      <c r="G200" s="114"/>
      <c r="H200" s="7"/>
      <c r="I200" s="64"/>
      <c r="J200" s="119">
        <v>0</v>
      </c>
      <c r="K200" s="138">
        <v>2465868</v>
      </c>
      <c r="L200" s="139">
        <v>2557954.36</v>
      </c>
      <c r="M200" s="140">
        <f t="shared" si="78"/>
        <v>255795.43599999999</v>
      </c>
      <c r="N200" s="140">
        <f t="shared" si="79"/>
        <v>48601.132839999998</v>
      </c>
      <c r="O200" s="140">
        <f t="shared" si="80"/>
        <v>2862350.9288400002</v>
      </c>
      <c r="P200" s="140">
        <f t="shared" si="66"/>
        <v>0</v>
      </c>
      <c r="Q200" s="142" t="s">
        <v>883</v>
      </c>
      <c r="R200" s="149">
        <v>1300000</v>
      </c>
      <c r="S200" s="150">
        <v>1347200</v>
      </c>
      <c r="T200" s="111" t="s">
        <v>841</v>
      </c>
      <c r="U200" s="140">
        <f t="shared" si="67"/>
        <v>0</v>
      </c>
      <c r="V200" s="188">
        <f t="shared" si="68"/>
        <v>0</v>
      </c>
      <c r="W200" s="188">
        <f t="shared" si="69"/>
        <v>0</v>
      </c>
      <c r="X200" s="188">
        <f t="shared" si="70"/>
        <v>0</v>
      </c>
      <c r="Y200" s="188">
        <f t="shared" si="71"/>
        <v>0</v>
      </c>
    </row>
    <row r="201" spans="1:25" ht="15.6" customHeight="1">
      <c r="A201" s="115"/>
      <c r="B201" s="120">
        <v>52229895</v>
      </c>
      <c r="C201" s="7" t="s">
        <v>736</v>
      </c>
      <c r="D201" s="7" t="s">
        <v>737</v>
      </c>
      <c r="E201" s="7" t="s">
        <v>738</v>
      </c>
      <c r="F201" s="7"/>
      <c r="G201" s="114"/>
      <c r="H201" s="64">
        <v>45385</v>
      </c>
      <c r="I201" s="64"/>
      <c r="J201" s="119">
        <v>0</v>
      </c>
      <c r="K201" s="138">
        <v>2465868</v>
      </c>
      <c r="L201" s="139">
        <v>2557954.36</v>
      </c>
      <c r="M201" s="140">
        <f>+L201*10%</f>
        <v>255795.43599999999</v>
      </c>
      <c r="N201" s="140">
        <f>+M201*19%</f>
        <v>48601.132839999998</v>
      </c>
      <c r="O201" s="140">
        <f>+L201+M201+N201</f>
        <v>2862350.9288400002</v>
      </c>
      <c r="P201" s="140">
        <f t="shared" si="66"/>
        <v>0</v>
      </c>
      <c r="Q201" s="142" t="s">
        <v>879</v>
      </c>
      <c r="R201" s="147">
        <f>1213334+86667</f>
        <v>1300001</v>
      </c>
      <c r="S201" s="142">
        <v>1347200</v>
      </c>
      <c r="T201" s="111" t="s">
        <v>852</v>
      </c>
      <c r="U201" s="140">
        <f t="shared" si="67"/>
        <v>0</v>
      </c>
      <c r="V201" s="188">
        <f t="shared" si="68"/>
        <v>0</v>
      </c>
      <c r="W201" s="188">
        <f t="shared" si="69"/>
        <v>0</v>
      </c>
      <c r="X201" s="188">
        <f t="shared" si="70"/>
        <v>0</v>
      </c>
      <c r="Y201" s="188">
        <f t="shared" si="71"/>
        <v>0</v>
      </c>
    </row>
    <row r="202" spans="1:25" ht="15.6" customHeight="1">
      <c r="A202" s="125"/>
      <c r="B202" s="120">
        <v>1013583198</v>
      </c>
      <c r="C202" s="7" t="s">
        <v>373</v>
      </c>
      <c r="D202" s="7" t="s">
        <v>94</v>
      </c>
      <c r="E202" s="7" t="s">
        <v>740</v>
      </c>
      <c r="F202" s="7" t="s">
        <v>265</v>
      </c>
      <c r="G202" s="114"/>
      <c r="H202" s="7"/>
      <c r="I202" s="64"/>
      <c r="J202" s="119">
        <v>0</v>
      </c>
      <c r="K202" s="138">
        <v>2465868</v>
      </c>
      <c r="L202" s="139">
        <v>2557954.36</v>
      </c>
      <c r="M202" s="140">
        <f t="shared" ref="M202" si="81">+L202*10%</f>
        <v>255795.43599999999</v>
      </c>
      <c r="N202" s="140">
        <f t="shared" ref="N202" si="82">+M202*19%</f>
        <v>48601.132839999998</v>
      </c>
      <c r="O202" s="140">
        <f t="shared" ref="O202" si="83">+L202+M202+N202</f>
        <v>2862350.9288400002</v>
      </c>
      <c r="P202" s="140">
        <f t="shared" si="66"/>
        <v>0</v>
      </c>
      <c r="Q202" s="142" t="s">
        <v>884</v>
      </c>
      <c r="R202" s="149">
        <f>1213334+86667</f>
        <v>1300001</v>
      </c>
      <c r="S202" s="150">
        <v>1347200</v>
      </c>
      <c r="T202" s="116" t="s">
        <v>779</v>
      </c>
      <c r="U202" s="140">
        <f t="shared" si="67"/>
        <v>0</v>
      </c>
      <c r="V202" s="188">
        <f t="shared" si="68"/>
        <v>0</v>
      </c>
      <c r="W202" s="188">
        <f t="shared" si="69"/>
        <v>0</v>
      </c>
      <c r="X202" s="188">
        <f t="shared" si="70"/>
        <v>0</v>
      </c>
      <c r="Y202" s="188">
        <f t="shared" si="71"/>
        <v>0</v>
      </c>
    </row>
    <row r="203" spans="1:25" ht="15.6" customHeight="1">
      <c r="A203" s="115"/>
      <c r="B203" s="120">
        <v>51837271</v>
      </c>
      <c r="C203" s="7" t="s">
        <v>309</v>
      </c>
      <c r="D203" s="7" t="s">
        <v>257</v>
      </c>
      <c r="E203" s="7" t="s">
        <v>253</v>
      </c>
      <c r="F203" s="7" t="s">
        <v>310</v>
      </c>
      <c r="G203" s="114"/>
      <c r="H203" s="7" t="s">
        <v>14</v>
      </c>
      <c r="I203" s="64">
        <v>45454</v>
      </c>
      <c r="J203" s="119">
        <v>0</v>
      </c>
      <c r="K203" s="138">
        <v>2465868</v>
      </c>
      <c r="L203" s="139">
        <v>2557954.36</v>
      </c>
      <c r="M203" s="140">
        <f t="shared" ref="M203:M208" si="84">+L203*10%</f>
        <v>255795.43599999999</v>
      </c>
      <c r="N203" s="140">
        <f t="shared" ref="N203:N208" si="85">+M203*19%</f>
        <v>48601.132839999998</v>
      </c>
      <c r="O203" s="140">
        <f t="shared" ref="O203:O208" si="86">+L203+M203+N203</f>
        <v>2862350.9288400002</v>
      </c>
      <c r="P203" s="140">
        <f t="shared" si="66"/>
        <v>0</v>
      </c>
      <c r="Q203" s="142" t="s">
        <v>885</v>
      </c>
      <c r="R203" s="144">
        <f>476667</f>
        <v>476667</v>
      </c>
      <c r="S203" s="142">
        <v>1341418</v>
      </c>
      <c r="T203" s="111" t="s">
        <v>842</v>
      </c>
      <c r="U203" s="140">
        <f t="shared" si="67"/>
        <v>0</v>
      </c>
      <c r="V203" s="188">
        <f t="shared" si="68"/>
        <v>0</v>
      </c>
      <c r="W203" s="188">
        <f t="shared" si="69"/>
        <v>0</v>
      </c>
      <c r="X203" s="188">
        <f t="shared" si="70"/>
        <v>0</v>
      </c>
      <c r="Y203" s="188">
        <f t="shared" si="71"/>
        <v>0</v>
      </c>
    </row>
    <row r="204" spans="1:25" ht="15.6" customHeight="1">
      <c r="A204" s="115"/>
      <c r="B204" s="120">
        <v>1031148383</v>
      </c>
      <c r="C204" s="7" t="s">
        <v>363</v>
      </c>
      <c r="D204" s="7" t="s">
        <v>364</v>
      </c>
      <c r="E204" s="7" t="s">
        <v>365</v>
      </c>
      <c r="F204" s="7" t="s">
        <v>222</v>
      </c>
      <c r="G204" s="114"/>
      <c r="H204" s="7" t="s">
        <v>354</v>
      </c>
      <c r="I204" s="64">
        <v>45466</v>
      </c>
      <c r="J204" s="119">
        <v>0</v>
      </c>
      <c r="K204" s="138">
        <v>2465868</v>
      </c>
      <c r="L204" s="139">
        <v>2557954.36</v>
      </c>
      <c r="M204" s="140">
        <f t="shared" si="84"/>
        <v>255795.43599999999</v>
      </c>
      <c r="N204" s="140">
        <f t="shared" si="85"/>
        <v>48601.132839999998</v>
      </c>
      <c r="O204" s="140">
        <f t="shared" si="86"/>
        <v>2862350.9288400002</v>
      </c>
      <c r="P204" s="140">
        <f t="shared" si="66"/>
        <v>0</v>
      </c>
      <c r="Q204" s="142" t="s">
        <v>846</v>
      </c>
      <c r="R204" s="153"/>
      <c r="S204" s="142">
        <v>245181</v>
      </c>
      <c r="T204" s="111" t="s">
        <v>845</v>
      </c>
      <c r="U204" s="140">
        <f t="shared" si="67"/>
        <v>0</v>
      </c>
      <c r="V204" s="188">
        <f t="shared" si="68"/>
        <v>0</v>
      </c>
      <c r="W204" s="188">
        <f t="shared" si="69"/>
        <v>0</v>
      </c>
      <c r="X204" s="188">
        <f t="shared" si="70"/>
        <v>0</v>
      </c>
      <c r="Y204" s="188">
        <f t="shared" si="71"/>
        <v>0</v>
      </c>
    </row>
    <row r="205" spans="1:25" ht="15.6" customHeight="1">
      <c r="A205" s="115"/>
      <c r="B205" s="121">
        <v>80055473</v>
      </c>
      <c r="C205" s="99" t="s">
        <v>745</v>
      </c>
      <c r="D205" s="99" t="s">
        <v>746</v>
      </c>
      <c r="E205" s="99" t="s">
        <v>747</v>
      </c>
      <c r="F205" s="99" t="s">
        <v>748</v>
      </c>
      <c r="G205" s="114"/>
      <c r="H205" s="100">
        <v>45421</v>
      </c>
      <c r="I205" s="64">
        <v>45428</v>
      </c>
      <c r="J205" s="119">
        <v>0</v>
      </c>
      <c r="K205" s="138">
        <v>2465868</v>
      </c>
      <c r="L205" s="139">
        <v>2557954.36</v>
      </c>
      <c r="M205" s="140">
        <f t="shared" si="84"/>
        <v>255795.43599999999</v>
      </c>
      <c r="N205" s="140">
        <f t="shared" si="85"/>
        <v>48601.132839999998</v>
      </c>
      <c r="O205" s="140">
        <f t="shared" si="86"/>
        <v>2862350.9288400002</v>
      </c>
      <c r="P205" s="140">
        <f t="shared" si="66"/>
        <v>0</v>
      </c>
      <c r="Q205" s="142" t="s">
        <v>885</v>
      </c>
      <c r="R205" s="142">
        <v>370667</v>
      </c>
      <c r="S205" s="142">
        <v>468727</v>
      </c>
      <c r="T205" s="111" t="s">
        <v>783</v>
      </c>
      <c r="U205" s="140">
        <f t="shared" si="67"/>
        <v>0</v>
      </c>
      <c r="V205" s="188">
        <f t="shared" si="68"/>
        <v>0</v>
      </c>
      <c r="W205" s="188">
        <f t="shared" si="69"/>
        <v>0</v>
      </c>
      <c r="X205" s="188">
        <f t="shared" si="70"/>
        <v>0</v>
      </c>
      <c r="Y205" s="188">
        <f t="shared" si="71"/>
        <v>0</v>
      </c>
    </row>
    <row r="206" spans="1:25" ht="15.6" customHeight="1">
      <c r="A206" s="115"/>
      <c r="B206" s="120">
        <v>1033740220</v>
      </c>
      <c r="C206" s="7" t="s">
        <v>212</v>
      </c>
      <c r="D206" s="7" t="s">
        <v>273</v>
      </c>
      <c r="E206" s="7" t="s">
        <v>261</v>
      </c>
      <c r="F206" s="7" t="s">
        <v>79</v>
      </c>
      <c r="G206" s="114"/>
      <c r="H206" s="64">
        <v>45395</v>
      </c>
      <c r="I206" s="64">
        <v>45417</v>
      </c>
      <c r="J206" s="119">
        <v>0</v>
      </c>
      <c r="K206" s="138">
        <v>2465868</v>
      </c>
      <c r="L206" s="139">
        <v>2557954.36</v>
      </c>
      <c r="M206" s="140">
        <f t="shared" si="84"/>
        <v>255795.43599999999</v>
      </c>
      <c r="N206" s="140">
        <f t="shared" si="85"/>
        <v>48601.132839999998</v>
      </c>
      <c r="O206" s="140">
        <f t="shared" si="86"/>
        <v>2862350.9288400002</v>
      </c>
      <c r="P206" s="140">
        <f t="shared" si="66"/>
        <v>0</v>
      </c>
      <c r="Q206" s="142" t="s">
        <v>885</v>
      </c>
      <c r="R206" s="142">
        <v>278000</v>
      </c>
      <c r="S206" s="142">
        <v>542255</v>
      </c>
      <c r="T206" s="111" t="s">
        <v>784</v>
      </c>
      <c r="U206" s="140">
        <f t="shared" si="67"/>
        <v>0</v>
      </c>
      <c r="V206" s="188">
        <f t="shared" si="68"/>
        <v>0</v>
      </c>
      <c r="W206" s="188">
        <f t="shared" si="69"/>
        <v>0</v>
      </c>
      <c r="X206" s="188">
        <f t="shared" si="70"/>
        <v>0</v>
      </c>
      <c r="Y206" s="188">
        <f t="shared" si="71"/>
        <v>0</v>
      </c>
    </row>
    <row r="207" spans="1:25" ht="15.6" customHeight="1">
      <c r="A207" s="118"/>
      <c r="B207" s="120">
        <v>79772101</v>
      </c>
      <c r="C207" s="7" t="s">
        <v>742</v>
      </c>
      <c r="D207" s="7" t="s">
        <v>743</v>
      </c>
      <c r="E207" s="7" t="s">
        <v>153</v>
      </c>
      <c r="F207" s="7" t="s">
        <v>744</v>
      </c>
      <c r="G207" s="114"/>
      <c r="H207" s="64">
        <v>45434</v>
      </c>
      <c r="I207" s="101"/>
      <c r="J207" s="94">
        <v>0</v>
      </c>
      <c r="K207" s="138">
        <v>2465868</v>
      </c>
      <c r="L207" s="139">
        <v>2557954.36</v>
      </c>
      <c r="M207" s="140">
        <f t="shared" si="84"/>
        <v>255795.43599999999</v>
      </c>
      <c r="N207" s="140">
        <f t="shared" si="85"/>
        <v>48601.132839999998</v>
      </c>
      <c r="O207" s="140">
        <f t="shared" si="86"/>
        <v>2862350.9288400002</v>
      </c>
      <c r="P207" s="140">
        <f t="shared" si="66"/>
        <v>0</v>
      </c>
      <c r="Q207" s="148" t="s">
        <v>839</v>
      </c>
      <c r="R207" s="154">
        <v>1390000</v>
      </c>
      <c r="S207" s="152"/>
      <c r="T207" s="111" t="s">
        <v>804</v>
      </c>
      <c r="U207" s="140">
        <f t="shared" si="67"/>
        <v>0</v>
      </c>
      <c r="V207" s="188">
        <f t="shared" si="68"/>
        <v>0</v>
      </c>
      <c r="W207" s="188">
        <f t="shared" si="69"/>
        <v>0</v>
      </c>
      <c r="X207" s="188">
        <f t="shared" si="70"/>
        <v>0</v>
      </c>
      <c r="Y207" s="188">
        <f t="shared" si="71"/>
        <v>0</v>
      </c>
    </row>
    <row r="208" spans="1:25" ht="15.6" customHeight="1">
      <c r="A208" s="118"/>
      <c r="B208" s="120">
        <v>79812858</v>
      </c>
      <c r="C208" s="7" t="s">
        <v>199</v>
      </c>
      <c r="D208" s="7" t="s">
        <v>757</v>
      </c>
      <c r="E208" s="7" t="s">
        <v>758</v>
      </c>
      <c r="F208" s="7"/>
      <c r="G208" s="114"/>
      <c r="H208" s="64">
        <v>45429</v>
      </c>
      <c r="I208" s="64">
        <v>45464</v>
      </c>
      <c r="J208" s="94">
        <v>0</v>
      </c>
      <c r="K208" s="138">
        <v>2465868</v>
      </c>
      <c r="L208" s="139">
        <v>2557954.36</v>
      </c>
      <c r="M208" s="140">
        <f t="shared" si="84"/>
        <v>255795.43599999999</v>
      </c>
      <c r="N208" s="140">
        <f t="shared" si="85"/>
        <v>48601.132839999998</v>
      </c>
      <c r="O208" s="140">
        <f t="shared" si="86"/>
        <v>2862350.9288400002</v>
      </c>
      <c r="P208" s="140">
        <f t="shared" si="66"/>
        <v>0</v>
      </c>
      <c r="Q208" s="148" t="s">
        <v>887</v>
      </c>
      <c r="R208" s="153">
        <f>1220400+90400+45200</f>
        <v>1356000</v>
      </c>
      <c r="S208" s="148" t="s">
        <v>886</v>
      </c>
      <c r="T208" s="111" t="s">
        <v>778</v>
      </c>
      <c r="U208" s="140">
        <f t="shared" si="67"/>
        <v>0</v>
      </c>
      <c r="V208" s="188">
        <f t="shared" si="68"/>
        <v>0</v>
      </c>
      <c r="W208" s="188">
        <f t="shared" si="69"/>
        <v>0</v>
      </c>
      <c r="X208" s="188">
        <f t="shared" si="70"/>
        <v>0</v>
      </c>
      <c r="Y208" s="188">
        <f t="shared" si="71"/>
        <v>0</v>
      </c>
    </row>
    <row r="209" spans="1:27" ht="15.6" customHeight="1">
      <c r="A209" s="219" t="s">
        <v>694</v>
      </c>
      <c r="B209" s="219"/>
      <c r="C209" s="219"/>
      <c r="D209" s="219"/>
      <c r="E209" s="219"/>
      <c r="F209" s="219"/>
      <c r="G209" s="219"/>
      <c r="H209" s="219"/>
      <c r="I209" s="219"/>
      <c r="J209" s="219"/>
      <c r="K209" s="219"/>
      <c r="L209" s="219"/>
      <c r="M209" s="219"/>
      <c r="N209" s="219"/>
      <c r="O209" s="219"/>
      <c r="P209" s="190">
        <f>SUM(P2:P208)</f>
        <v>517990119</v>
      </c>
      <c r="Q209" s="191"/>
      <c r="R209" s="191"/>
      <c r="S209" s="191"/>
      <c r="T209" s="192"/>
      <c r="U209" s="193">
        <f>SUM(U2:U208)</f>
        <v>462904417</v>
      </c>
      <c r="V209" s="190">
        <f>SUM(V2:V208)</f>
        <v>46290441.699999869</v>
      </c>
      <c r="W209" s="190">
        <f>SUM(W2:W208)</f>
        <v>8795183.9230000172</v>
      </c>
      <c r="X209" s="190">
        <f>SUM(X2:X208)</f>
        <v>517990108</v>
      </c>
      <c r="Y209" s="194">
        <f>SUM(Y2:Y208)</f>
        <v>-11</v>
      </c>
    </row>
    <row r="210" spans="1:27" ht="15.6" customHeight="1">
      <c r="B210" s="95"/>
      <c r="S210" s="156"/>
      <c r="T210" s="96"/>
      <c r="U210" s="195">
        <f>SUBTOTAL(9,U2:U208)</f>
        <v>462904417</v>
      </c>
      <c r="V210" s="195">
        <f>SUBTOTAL(9,V2:V208)</f>
        <v>46290441.699999869</v>
      </c>
      <c r="W210" s="195">
        <f>SUBTOTAL(9,W2:W208)</f>
        <v>8795183.9230000172</v>
      </c>
      <c r="X210" s="195">
        <f>SUBTOTAL(9,X2:X208)</f>
        <v>517990108</v>
      </c>
    </row>
    <row r="212" spans="1:27" ht="15.6" customHeight="1">
      <c r="A212" s="196"/>
      <c r="B212" s="80" t="s">
        <v>13</v>
      </c>
      <c r="C212" s="80" t="s">
        <v>191</v>
      </c>
      <c r="D212" s="80" t="s">
        <v>210</v>
      </c>
      <c r="E212" s="80" t="s">
        <v>410</v>
      </c>
      <c r="F212" s="80" t="s">
        <v>89</v>
      </c>
      <c r="G212" s="197" t="s">
        <v>45</v>
      </c>
    </row>
    <row r="213" spans="1:27" ht="15.6" customHeight="1">
      <c r="A213" s="198" t="s">
        <v>766</v>
      </c>
      <c r="B213" s="199">
        <f t="shared" ref="B213:G213" si="87">+SUMIFS($X$2:$X$208,$A$2:$A$208,$A213,$G$2:$G$208,B$212)</f>
        <v>33203269</v>
      </c>
      <c r="C213" s="199">
        <f t="shared" si="87"/>
        <v>86347586</v>
      </c>
      <c r="D213" s="199">
        <f t="shared" si="87"/>
        <v>6297172</v>
      </c>
      <c r="E213" s="199">
        <f t="shared" si="87"/>
        <v>0</v>
      </c>
      <c r="F213" s="199">
        <f t="shared" si="87"/>
        <v>2766939</v>
      </c>
      <c r="G213" s="200">
        <f t="shared" si="87"/>
        <v>5724702</v>
      </c>
      <c r="H213" s="1">
        <f>SUM(B213:G213)</f>
        <v>134339668</v>
      </c>
    </row>
    <row r="214" spans="1:27" ht="15.6" customHeight="1">
      <c r="A214" s="198" t="s">
        <v>767</v>
      </c>
      <c r="B214" s="199">
        <f t="shared" ref="B214:G237" si="88">+SUMIFS($X$2:$X$208,$A$2:$A$208,$A214,$G$2:$G$208,B$212)</f>
        <v>8587053</v>
      </c>
      <c r="C214" s="199">
        <f t="shared" si="88"/>
        <v>32630801</v>
      </c>
      <c r="D214" s="199">
        <f t="shared" si="88"/>
        <v>0</v>
      </c>
      <c r="E214" s="199">
        <f t="shared" si="88"/>
        <v>0</v>
      </c>
      <c r="F214" s="199">
        <f t="shared" si="88"/>
        <v>2862351</v>
      </c>
      <c r="G214" s="200">
        <f t="shared" si="88"/>
        <v>0</v>
      </c>
      <c r="H214" s="1">
        <f t="shared" ref="H214:H237" si="89">SUM(B214:G214)</f>
        <v>44080205</v>
      </c>
    </row>
    <row r="215" spans="1:27" ht="15.6" customHeight="1">
      <c r="A215" s="198" t="s">
        <v>768</v>
      </c>
      <c r="B215" s="199">
        <f t="shared" si="88"/>
        <v>5724702</v>
      </c>
      <c r="C215" s="199">
        <f t="shared" si="88"/>
        <v>5724702</v>
      </c>
      <c r="D215" s="199">
        <f t="shared" si="88"/>
        <v>0</v>
      </c>
      <c r="E215" s="199">
        <f t="shared" si="88"/>
        <v>0</v>
      </c>
      <c r="F215" s="199">
        <f t="shared" si="88"/>
        <v>2862351</v>
      </c>
      <c r="G215" s="200">
        <f t="shared" si="88"/>
        <v>0</v>
      </c>
      <c r="H215" s="1">
        <f t="shared" si="89"/>
        <v>14311755</v>
      </c>
      <c r="AA215" s="201"/>
    </row>
    <row r="216" spans="1:27" ht="15.6" customHeight="1">
      <c r="A216" s="198" t="s">
        <v>769</v>
      </c>
      <c r="B216" s="199">
        <f t="shared" si="88"/>
        <v>0</v>
      </c>
      <c r="C216" s="199">
        <f t="shared" si="88"/>
        <v>5056820</v>
      </c>
      <c r="D216" s="199">
        <f t="shared" si="88"/>
        <v>0</v>
      </c>
      <c r="E216" s="199">
        <f t="shared" si="88"/>
        <v>0</v>
      </c>
      <c r="F216" s="199">
        <f t="shared" si="88"/>
        <v>0</v>
      </c>
      <c r="G216" s="200">
        <f t="shared" si="88"/>
        <v>0</v>
      </c>
      <c r="H216" s="1">
        <f t="shared" si="89"/>
        <v>5056820</v>
      </c>
    </row>
    <row r="217" spans="1:27" ht="15.6" customHeight="1">
      <c r="A217" s="198" t="s">
        <v>770</v>
      </c>
      <c r="B217" s="199">
        <f t="shared" si="88"/>
        <v>5724702</v>
      </c>
      <c r="C217" s="199">
        <f t="shared" si="88"/>
        <v>23852924</v>
      </c>
      <c r="D217" s="199">
        <f t="shared" si="88"/>
        <v>2099057</v>
      </c>
      <c r="E217" s="199">
        <f t="shared" si="88"/>
        <v>0</v>
      </c>
      <c r="F217" s="199">
        <f t="shared" si="88"/>
        <v>0</v>
      </c>
      <c r="G217" s="200">
        <f t="shared" si="88"/>
        <v>0</v>
      </c>
      <c r="H217" s="1">
        <f t="shared" si="89"/>
        <v>31676683</v>
      </c>
    </row>
    <row r="218" spans="1:27" ht="15.6" customHeight="1">
      <c r="A218" s="198" t="s">
        <v>771</v>
      </c>
      <c r="B218" s="199">
        <f t="shared" si="88"/>
        <v>5724702</v>
      </c>
      <c r="C218" s="199">
        <f t="shared" si="88"/>
        <v>22707984</v>
      </c>
      <c r="D218" s="199">
        <f t="shared" si="88"/>
        <v>0</v>
      </c>
      <c r="E218" s="199">
        <f t="shared" si="88"/>
        <v>0</v>
      </c>
      <c r="F218" s="199">
        <f t="shared" si="88"/>
        <v>0</v>
      </c>
      <c r="G218" s="200">
        <f t="shared" si="88"/>
        <v>0</v>
      </c>
      <c r="H218" s="1">
        <f t="shared" si="89"/>
        <v>28432686</v>
      </c>
    </row>
    <row r="219" spans="1:27" ht="15.6" customHeight="1">
      <c r="A219" s="198" t="s">
        <v>772</v>
      </c>
      <c r="B219" s="199">
        <f t="shared" si="88"/>
        <v>5724702</v>
      </c>
      <c r="C219" s="199">
        <f t="shared" si="88"/>
        <v>14597990</v>
      </c>
      <c r="D219" s="199">
        <f t="shared" si="88"/>
        <v>0</v>
      </c>
      <c r="E219" s="199">
        <f t="shared" si="88"/>
        <v>2576116</v>
      </c>
      <c r="F219" s="199">
        <f t="shared" si="88"/>
        <v>0</v>
      </c>
      <c r="G219" s="200">
        <f t="shared" si="88"/>
        <v>0</v>
      </c>
      <c r="H219" s="1">
        <f t="shared" si="89"/>
        <v>22898808</v>
      </c>
    </row>
    <row r="220" spans="1:27" ht="15.6" customHeight="1">
      <c r="A220" s="198" t="s">
        <v>773</v>
      </c>
      <c r="B220" s="199">
        <f t="shared" si="88"/>
        <v>2862351</v>
      </c>
      <c r="C220" s="199">
        <f t="shared" si="88"/>
        <v>14120931</v>
      </c>
      <c r="D220" s="199">
        <f t="shared" si="88"/>
        <v>0</v>
      </c>
      <c r="E220" s="199">
        <f t="shared" si="88"/>
        <v>0</v>
      </c>
      <c r="F220" s="199">
        <f t="shared" si="88"/>
        <v>0</v>
      </c>
      <c r="G220" s="200">
        <f t="shared" si="88"/>
        <v>0</v>
      </c>
      <c r="H220" s="1">
        <f t="shared" si="89"/>
        <v>16983282</v>
      </c>
    </row>
    <row r="221" spans="1:27" ht="15.6" customHeight="1">
      <c r="A221" s="198" t="s">
        <v>774</v>
      </c>
      <c r="B221" s="199">
        <f t="shared" si="88"/>
        <v>5724702</v>
      </c>
      <c r="C221" s="199">
        <f t="shared" si="88"/>
        <v>17174106</v>
      </c>
      <c r="D221" s="199">
        <f t="shared" si="88"/>
        <v>0</v>
      </c>
      <c r="E221" s="199">
        <f t="shared" si="88"/>
        <v>0</v>
      </c>
      <c r="F221" s="199">
        <f t="shared" si="88"/>
        <v>0</v>
      </c>
      <c r="G221" s="200">
        <f t="shared" si="88"/>
        <v>0</v>
      </c>
      <c r="H221" s="1">
        <f t="shared" si="89"/>
        <v>22898808</v>
      </c>
    </row>
    <row r="222" spans="1:27" ht="15.6" customHeight="1">
      <c r="A222" s="198" t="s">
        <v>662</v>
      </c>
      <c r="B222" s="199">
        <f t="shared" si="88"/>
        <v>5533878</v>
      </c>
      <c r="C222" s="199">
        <f t="shared" si="88"/>
        <v>22707984</v>
      </c>
      <c r="D222" s="199">
        <f t="shared" si="88"/>
        <v>0</v>
      </c>
      <c r="E222" s="199">
        <f t="shared" si="88"/>
        <v>0</v>
      </c>
      <c r="F222" s="199">
        <f t="shared" si="88"/>
        <v>0</v>
      </c>
      <c r="G222" s="200">
        <f t="shared" si="88"/>
        <v>2862351</v>
      </c>
      <c r="H222" s="1">
        <f t="shared" si="89"/>
        <v>31104213</v>
      </c>
    </row>
    <row r="223" spans="1:27" ht="15.6" customHeight="1">
      <c r="A223" s="198" t="s">
        <v>663</v>
      </c>
      <c r="B223" s="199">
        <f t="shared" si="88"/>
        <v>5724702</v>
      </c>
      <c r="C223" s="199">
        <f t="shared" si="88"/>
        <v>22898808</v>
      </c>
      <c r="D223" s="199">
        <f t="shared" si="88"/>
        <v>0</v>
      </c>
      <c r="E223" s="199">
        <f t="shared" si="88"/>
        <v>0</v>
      </c>
      <c r="F223" s="199">
        <f t="shared" si="88"/>
        <v>0</v>
      </c>
      <c r="G223" s="200">
        <f t="shared" si="88"/>
        <v>2862351</v>
      </c>
      <c r="H223" s="1">
        <f t="shared" si="89"/>
        <v>31485861</v>
      </c>
    </row>
    <row r="224" spans="1:27" ht="15.6" customHeight="1">
      <c r="A224" s="198" t="s">
        <v>664</v>
      </c>
      <c r="B224" s="199">
        <f t="shared" si="88"/>
        <v>0</v>
      </c>
      <c r="C224" s="199">
        <f t="shared" si="88"/>
        <v>5724702</v>
      </c>
      <c r="D224" s="199">
        <f t="shared" si="88"/>
        <v>0</v>
      </c>
      <c r="E224" s="199">
        <f t="shared" si="88"/>
        <v>0</v>
      </c>
      <c r="F224" s="199">
        <f t="shared" si="88"/>
        <v>0</v>
      </c>
      <c r="G224" s="200">
        <f t="shared" si="88"/>
        <v>0</v>
      </c>
      <c r="H224" s="1">
        <f t="shared" si="89"/>
        <v>5724702</v>
      </c>
    </row>
    <row r="225" spans="1:8" ht="15.6" customHeight="1">
      <c r="A225" s="198" t="s">
        <v>665</v>
      </c>
      <c r="B225" s="199">
        <f t="shared" si="88"/>
        <v>0</v>
      </c>
      <c r="C225" s="199">
        <f t="shared" si="88"/>
        <v>5533878</v>
      </c>
      <c r="D225" s="199">
        <f t="shared" si="88"/>
        <v>0</v>
      </c>
      <c r="E225" s="199">
        <f t="shared" si="88"/>
        <v>0</v>
      </c>
      <c r="F225" s="199">
        <f t="shared" si="88"/>
        <v>0</v>
      </c>
      <c r="G225" s="200">
        <f t="shared" si="88"/>
        <v>0</v>
      </c>
      <c r="H225" s="1">
        <f t="shared" si="89"/>
        <v>5533878</v>
      </c>
    </row>
    <row r="226" spans="1:8" ht="15.6" customHeight="1">
      <c r="A226" s="198" t="s">
        <v>666</v>
      </c>
      <c r="B226" s="199">
        <f t="shared" si="88"/>
        <v>2862351</v>
      </c>
      <c r="C226" s="199">
        <f t="shared" si="88"/>
        <v>5724702</v>
      </c>
      <c r="D226" s="199">
        <f t="shared" si="88"/>
        <v>0</v>
      </c>
      <c r="E226" s="199">
        <f t="shared" si="88"/>
        <v>0</v>
      </c>
      <c r="F226" s="199">
        <f t="shared" si="88"/>
        <v>0</v>
      </c>
      <c r="G226" s="200">
        <f t="shared" si="88"/>
        <v>0</v>
      </c>
      <c r="H226" s="1">
        <f t="shared" si="89"/>
        <v>8587053</v>
      </c>
    </row>
    <row r="227" spans="1:8" ht="15.6" customHeight="1">
      <c r="A227" s="198" t="s">
        <v>667</v>
      </c>
      <c r="B227" s="199">
        <f t="shared" si="88"/>
        <v>2862351</v>
      </c>
      <c r="C227" s="199">
        <f t="shared" si="88"/>
        <v>5724702</v>
      </c>
      <c r="D227" s="199">
        <f t="shared" si="88"/>
        <v>0</v>
      </c>
      <c r="E227" s="199">
        <f t="shared" si="88"/>
        <v>0</v>
      </c>
      <c r="F227" s="199">
        <f t="shared" si="88"/>
        <v>0</v>
      </c>
      <c r="G227" s="200">
        <f t="shared" si="88"/>
        <v>0</v>
      </c>
      <c r="H227" s="1">
        <f t="shared" si="89"/>
        <v>8587053</v>
      </c>
    </row>
    <row r="228" spans="1:8" ht="15.6" customHeight="1">
      <c r="A228" s="198" t="s">
        <v>668</v>
      </c>
      <c r="B228" s="199">
        <f t="shared" si="88"/>
        <v>4770585</v>
      </c>
      <c r="C228" s="199">
        <f t="shared" si="88"/>
        <v>11449404</v>
      </c>
      <c r="D228" s="199">
        <f t="shared" si="88"/>
        <v>0</v>
      </c>
      <c r="E228" s="199">
        <f t="shared" si="88"/>
        <v>0</v>
      </c>
      <c r="F228" s="199">
        <f t="shared" si="88"/>
        <v>0</v>
      </c>
      <c r="G228" s="200">
        <f t="shared" si="88"/>
        <v>0</v>
      </c>
      <c r="H228" s="1">
        <f t="shared" si="89"/>
        <v>16219989</v>
      </c>
    </row>
    <row r="229" spans="1:8" ht="15.6" customHeight="1">
      <c r="A229" s="198" t="s">
        <v>669</v>
      </c>
      <c r="B229" s="199">
        <f t="shared" si="88"/>
        <v>0</v>
      </c>
      <c r="C229" s="199">
        <f t="shared" si="88"/>
        <v>2862351</v>
      </c>
      <c r="D229" s="199">
        <f t="shared" si="88"/>
        <v>0</v>
      </c>
      <c r="E229" s="199">
        <f t="shared" si="88"/>
        <v>0</v>
      </c>
      <c r="F229" s="199">
        <f t="shared" si="88"/>
        <v>0</v>
      </c>
      <c r="G229" s="200">
        <f t="shared" si="88"/>
        <v>0</v>
      </c>
      <c r="H229" s="1">
        <f t="shared" si="89"/>
        <v>2862351</v>
      </c>
    </row>
    <row r="230" spans="1:8" ht="15.6" customHeight="1">
      <c r="A230" s="198" t="s">
        <v>670</v>
      </c>
      <c r="B230" s="199">
        <f t="shared" si="88"/>
        <v>5533878</v>
      </c>
      <c r="C230" s="199">
        <f t="shared" si="88"/>
        <v>11449404</v>
      </c>
      <c r="D230" s="199">
        <f t="shared" si="88"/>
        <v>0</v>
      </c>
      <c r="E230" s="199">
        <f t="shared" si="88"/>
        <v>0</v>
      </c>
      <c r="F230" s="199">
        <f t="shared" si="88"/>
        <v>2766939</v>
      </c>
      <c r="G230" s="200">
        <f t="shared" si="88"/>
        <v>2862351</v>
      </c>
      <c r="H230" s="1">
        <f t="shared" si="89"/>
        <v>22612572</v>
      </c>
    </row>
    <row r="231" spans="1:8" ht="15.6" customHeight="1">
      <c r="A231" s="198" t="s">
        <v>671</v>
      </c>
      <c r="B231" s="199">
        <f t="shared" si="88"/>
        <v>4961408</v>
      </c>
      <c r="C231" s="199">
        <f t="shared" si="88"/>
        <v>7346701</v>
      </c>
      <c r="D231" s="199">
        <f t="shared" si="88"/>
        <v>0</v>
      </c>
      <c r="E231" s="199">
        <f t="shared" si="88"/>
        <v>0</v>
      </c>
      <c r="F231" s="199">
        <f t="shared" si="88"/>
        <v>2862351</v>
      </c>
      <c r="G231" s="200">
        <f t="shared" si="88"/>
        <v>0</v>
      </c>
      <c r="H231" s="1">
        <f t="shared" si="89"/>
        <v>15170460</v>
      </c>
    </row>
    <row r="232" spans="1:8" ht="15.6" customHeight="1">
      <c r="A232" s="198" t="s">
        <v>672</v>
      </c>
      <c r="B232" s="199">
        <f t="shared" si="88"/>
        <v>2862351</v>
      </c>
      <c r="C232" s="199">
        <f t="shared" si="88"/>
        <v>6583407</v>
      </c>
      <c r="D232" s="199">
        <f t="shared" si="88"/>
        <v>0</v>
      </c>
      <c r="E232" s="199">
        <f t="shared" si="88"/>
        <v>2003646</v>
      </c>
      <c r="F232" s="199">
        <f t="shared" si="88"/>
        <v>0</v>
      </c>
      <c r="G232" s="200">
        <f t="shared" si="88"/>
        <v>0</v>
      </c>
      <c r="H232" s="1">
        <f t="shared" si="89"/>
        <v>11449404</v>
      </c>
    </row>
    <row r="233" spans="1:8" ht="15.6" customHeight="1">
      <c r="A233" s="198" t="s">
        <v>673</v>
      </c>
      <c r="B233" s="199">
        <f t="shared" si="88"/>
        <v>2862351</v>
      </c>
      <c r="C233" s="199">
        <f t="shared" si="88"/>
        <v>5438467</v>
      </c>
      <c r="D233" s="199">
        <f t="shared" si="88"/>
        <v>0</v>
      </c>
      <c r="E233" s="199">
        <f t="shared" si="88"/>
        <v>0</v>
      </c>
      <c r="F233" s="199">
        <f t="shared" si="88"/>
        <v>0</v>
      </c>
      <c r="G233" s="200">
        <f t="shared" si="88"/>
        <v>0</v>
      </c>
      <c r="H233" s="1">
        <f t="shared" si="89"/>
        <v>8300818</v>
      </c>
    </row>
    <row r="234" spans="1:8" ht="15.6" customHeight="1">
      <c r="A234" s="198" t="s">
        <v>674</v>
      </c>
      <c r="B234" s="199">
        <f t="shared" si="88"/>
        <v>0</v>
      </c>
      <c r="C234" s="199">
        <f t="shared" si="88"/>
        <v>8587053</v>
      </c>
      <c r="D234" s="199">
        <f t="shared" si="88"/>
        <v>0</v>
      </c>
      <c r="E234" s="199">
        <f t="shared" si="88"/>
        <v>0</v>
      </c>
      <c r="F234" s="199">
        <f t="shared" si="88"/>
        <v>0</v>
      </c>
      <c r="G234" s="200">
        <f t="shared" si="88"/>
        <v>0</v>
      </c>
      <c r="H234" s="1">
        <f t="shared" si="89"/>
        <v>8587053</v>
      </c>
    </row>
    <row r="235" spans="1:8" ht="15.6" customHeight="1">
      <c r="A235" s="198" t="s">
        <v>675</v>
      </c>
      <c r="B235" s="199">
        <f t="shared" si="88"/>
        <v>2194469</v>
      </c>
      <c r="C235" s="199">
        <f t="shared" si="88"/>
        <v>8109995</v>
      </c>
      <c r="D235" s="199">
        <f t="shared" si="88"/>
        <v>0</v>
      </c>
      <c r="E235" s="199">
        <f t="shared" si="88"/>
        <v>0</v>
      </c>
      <c r="F235" s="199">
        <f t="shared" si="88"/>
        <v>0</v>
      </c>
      <c r="G235" s="200">
        <f t="shared" si="88"/>
        <v>0</v>
      </c>
      <c r="H235" s="1">
        <f t="shared" si="89"/>
        <v>10304464</v>
      </c>
    </row>
    <row r="236" spans="1:8" ht="15.6" customHeight="1">
      <c r="A236" s="198" t="s">
        <v>676</v>
      </c>
      <c r="B236" s="199">
        <f t="shared" si="88"/>
        <v>0</v>
      </c>
      <c r="C236" s="199">
        <f t="shared" si="88"/>
        <v>5724702</v>
      </c>
      <c r="D236" s="199">
        <f t="shared" si="88"/>
        <v>0</v>
      </c>
      <c r="E236" s="199">
        <f t="shared" si="88"/>
        <v>0</v>
      </c>
      <c r="F236" s="199">
        <f t="shared" si="88"/>
        <v>0</v>
      </c>
      <c r="G236" s="200">
        <f t="shared" si="88"/>
        <v>0</v>
      </c>
      <c r="H236" s="1">
        <f t="shared" si="89"/>
        <v>5724702</v>
      </c>
    </row>
    <row r="237" spans="1:8" ht="15.6" customHeight="1">
      <c r="A237" s="198" t="s">
        <v>677</v>
      </c>
      <c r="B237" s="199">
        <f t="shared" si="88"/>
        <v>0</v>
      </c>
      <c r="C237" s="199">
        <f t="shared" si="88"/>
        <v>3530233</v>
      </c>
      <c r="D237" s="199">
        <f t="shared" si="88"/>
        <v>0</v>
      </c>
      <c r="E237" s="199">
        <f t="shared" si="88"/>
        <v>1526587</v>
      </c>
      <c r="F237" s="199">
        <f t="shared" si="88"/>
        <v>0</v>
      </c>
      <c r="G237" s="200">
        <f t="shared" si="88"/>
        <v>0</v>
      </c>
      <c r="H237" s="1">
        <f t="shared" si="89"/>
        <v>5056820</v>
      </c>
    </row>
    <row r="238" spans="1:8" ht="15.6" customHeight="1">
      <c r="A238" s="184" t="s">
        <v>690</v>
      </c>
      <c r="B238" s="185">
        <f>SUM(B213:B237)</f>
        <v>113444507</v>
      </c>
      <c r="C238" s="185">
        <f>SUM(C213:C237)</f>
        <v>361610337</v>
      </c>
      <c r="D238" s="185">
        <f t="shared" ref="D238:H238" si="90">SUM(D213:D237)</f>
        <v>8396229</v>
      </c>
      <c r="E238" s="185">
        <f t="shared" si="90"/>
        <v>6106349</v>
      </c>
      <c r="F238" s="185">
        <f t="shared" si="90"/>
        <v>14120931</v>
      </c>
      <c r="G238" s="186">
        <f t="shared" si="90"/>
        <v>14311755</v>
      </c>
      <c r="H238" s="186">
        <f t="shared" si="90"/>
        <v>517990108</v>
      </c>
    </row>
    <row r="240" spans="1:8" ht="15.6" customHeight="1">
      <c r="A240" s="196"/>
      <c r="B240" s="80" t="s">
        <v>13</v>
      </c>
      <c r="C240" s="80" t="s">
        <v>191</v>
      </c>
      <c r="D240" s="80" t="s">
        <v>210</v>
      </c>
      <c r="E240" s="80" t="s">
        <v>410</v>
      </c>
      <c r="F240" s="80" t="s">
        <v>89</v>
      </c>
      <c r="G240" s="197" t="s">
        <v>45</v>
      </c>
    </row>
    <row r="241" spans="1:8" ht="15.6" customHeight="1">
      <c r="A241" s="198" t="s">
        <v>766</v>
      </c>
      <c r="B241" s="202">
        <f>+COUNTIFS($A$2:$A$208,$A241,$G$2:$G$208,B$240)</f>
        <v>12</v>
      </c>
      <c r="C241" s="202">
        <f>+COUNTIFS($A$2:$A$208,$A241,$G$2:$G$208,C$240)</f>
        <v>32</v>
      </c>
      <c r="D241" s="202">
        <f t="shared" ref="D241:G241" si="91">+COUNTIFS($A$2:$A$208,$A241,$G$2:$G$208,D$240)</f>
        <v>3</v>
      </c>
      <c r="E241" s="202">
        <f t="shared" si="91"/>
        <v>0</v>
      </c>
      <c r="F241" s="202">
        <f t="shared" si="91"/>
        <v>1</v>
      </c>
      <c r="G241" s="202">
        <f t="shared" si="91"/>
        <v>2</v>
      </c>
      <c r="H241" s="1">
        <f>SUM(B241:G241)</f>
        <v>50</v>
      </c>
    </row>
    <row r="242" spans="1:8" ht="15.6" customHeight="1">
      <c r="A242" s="198" t="s">
        <v>767</v>
      </c>
      <c r="B242" s="202">
        <f t="shared" ref="B242:G265" si="92">+COUNTIFS($A$2:$A$208,$A242,$G$2:$G$208,B$240)</f>
        <v>3</v>
      </c>
      <c r="C242" s="202">
        <f t="shared" si="92"/>
        <v>12</v>
      </c>
      <c r="D242" s="202">
        <f t="shared" si="92"/>
        <v>0</v>
      </c>
      <c r="E242" s="202">
        <f t="shared" si="92"/>
        <v>0</v>
      </c>
      <c r="F242" s="202">
        <f t="shared" si="92"/>
        <v>1</v>
      </c>
      <c r="G242" s="202">
        <f t="shared" si="92"/>
        <v>0</v>
      </c>
      <c r="H242" s="1">
        <f t="shared" ref="H242:H265" si="93">SUM(B242:G242)</f>
        <v>16</v>
      </c>
    </row>
    <row r="243" spans="1:8" ht="15.6" customHeight="1">
      <c r="A243" s="198" t="s">
        <v>768</v>
      </c>
      <c r="B243" s="202">
        <f t="shared" si="92"/>
        <v>2</v>
      </c>
      <c r="C243" s="202">
        <f t="shared" si="92"/>
        <v>2</v>
      </c>
      <c r="D243" s="202">
        <f t="shared" si="92"/>
        <v>0</v>
      </c>
      <c r="E243" s="202">
        <f t="shared" si="92"/>
        <v>0</v>
      </c>
      <c r="F243" s="202">
        <f t="shared" si="92"/>
        <v>1</v>
      </c>
      <c r="G243" s="202">
        <f t="shared" si="92"/>
        <v>0</v>
      </c>
      <c r="H243" s="1">
        <f t="shared" si="93"/>
        <v>5</v>
      </c>
    </row>
    <row r="244" spans="1:8" ht="15.6" customHeight="1">
      <c r="A244" s="198" t="s">
        <v>769</v>
      </c>
      <c r="B244" s="202">
        <f t="shared" si="92"/>
        <v>0</v>
      </c>
      <c r="C244" s="202">
        <f t="shared" si="92"/>
        <v>2</v>
      </c>
      <c r="D244" s="202">
        <f t="shared" si="92"/>
        <v>0</v>
      </c>
      <c r="E244" s="202">
        <f t="shared" si="92"/>
        <v>0</v>
      </c>
      <c r="F244" s="202">
        <f t="shared" si="92"/>
        <v>0</v>
      </c>
      <c r="G244" s="202">
        <f t="shared" si="92"/>
        <v>0</v>
      </c>
      <c r="H244" s="1">
        <f t="shared" si="93"/>
        <v>2</v>
      </c>
    </row>
    <row r="245" spans="1:8" ht="15.6" customHeight="1">
      <c r="A245" s="198" t="s">
        <v>770</v>
      </c>
      <c r="B245" s="202">
        <f t="shared" si="92"/>
        <v>2</v>
      </c>
      <c r="C245" s="202">
        <f t="shared" si="92"/>
        <v>10</v>
      </c>
      <c r="D245" s="202">
        <f t="shared" si="92"/>
        <v>1</v>
      </c>
      <c r="E245" s="202">
        <f t="shared" si="92"/>
        <v>0</v>
      </c>
      <c r="F245" s="202">
        <f t="shared" si="92"/>
        <v>0</v>
      </c>
      <c r="G245" s="202">
        <f t="shared" si="92"/>
        <v>0</v>
      </c>
      <c r="H245" s="1">
        <f t="shared" si="93"/>
        <v>13</v>
      </c>
    </row>
    <row r="246" spans="1:8" ht="15.6" customHeight="1">
      <c r="A246" s="198" t="s">
        <v>771</v>
      </c>
      <c r="B246" s="202">
        <f t="shared" si="92"/>
        <v>2</v>
      </c>
      <c r="C246" s="202">
        <f t="shared" si="92"/>
        <v>8</v>
      </c>
      <c r="D246" s="202">
        <f t="shared" si="92"/>
        <v>0</v>
      </c>
      <c r="E246" s="202">
        <f t="shared" si="92"/>
        <v>0</v>
      </c>
      <c r="F246" s="202">
        <f t="shared" si="92"/>
        <v>0</v>
      </c>
      <c r="G246" s="202">
        <f t="shared" si="92"/>
        <v>0</v>
      </c>
      <c r="H246" s="1">
        <f t="shared" si="93"/>
        <v>10</v>
      </c>
    </row>
    <row r="247" spans="1:8" ht="15.6" customHeight="1">
      <c r="A247" s="198" t="s">
        <v>772</v>
      </c>
      <c r="B247" s="202">
        <f t="shared" si="92"/>
        <v>2</v>
      </c>
      <c r="C247" s="202">
        <f t="shared" si="92"/>
        <v>6</v>
      </c>
      <c r="D247" s="202">
        <f t="shared" si="92"/>
        <v>0</v>
      </c>
      <c r="E247" s="202">
        <f t="shared" si="92"/>
        <v>1</v>
      </c>
      <c r="F247" s="202">
        <f t="shared" si="92"/>
        <v>0</v>
      </c>
      <c r="G247" s="202">
        <f t="shared" si="92"/>
        <v>0</v>
      </c>
      <c r="H247" s="1">
        <f t="shared" si="93"/>
        <v>9</v>
      </c>
    </row>
    <row r="248" spans="1:8" ht="15.6" customHeight="1">
      <c r="A248" s="198" t="s">
        <v>773</v>
      </c>
      <c r="B248" s="202">
        <f t="shared" si="92"/>
        <v>1</v>
      </c>
      <c r="C248" s="202">
        <f t="shared" si="92"/>
        <v>5</v>
      </c>
      <c r="D248" s="202">
        <f t="shared" si="92"/>
        <v>0</v>
      </c>
      <c r="E248" s="202">
        <f t="shared" si="92"/>
        <v>0</v>
      </c>
      <c r="F248" s="202">
        <f t="shared" si="92"/>
        <v>0</v>
      </c>
      <c r="G248" s="202">
        <f t="shared" si="92"/>
        <v>0</v>
      </c>
      <c r="H248" s="1">
        <f t="shared" si="93"/>
        <v>6</v>
      </c>
    </row>
    <row r="249" spans="1:8" ht="15.6" customHeight="1">
      <c r="A249" s="198" t="s">
        <v>774</v>
      </c>
      <c r="B249" s="202">
        <f t="shared" si="92"/>
        <v>2</v>
      </c>
      <c r="C249" s="202">
        <f t="shared" si="92"/>
        <v>6</v>
      </c>
      <c r="D249" s="202">
        <f t="shared" si="92"/>
        <v>0</v>
      </c>
      <c r="E249" s="202">
        <f t="shared" si="92"/>
        <v>0</v>
      </c>
      <c r="F249" s="202">
        <f t="shared" si="92"/>
        <v>0</v>
      </c>
      <c r="G249" s="202">
        <f t="shared" si="92"/>
        <v>0</v>
      </c>
      <c r="H249" s="1">
        <f t="shared" si="93"/>
        <v>8</v>
      </c>
    </row>
    <row r="250" spans="1:8" ht="15.6" customHeight="1">
      <c r="A250" s="198" t="s">
        <v>662</v>
      </c>
      <c r="B250" s="202">
        <f t="shared" si="92"/>
        <v>2</v>
      </c>
      <c r="C250" s="202">
        <f t="shared" si="92"/>
        <v>8</v>
      </c>
      <c r="D250" s="202">
        <f t="shared" si="92"/>
        <v>0</v>
      </c>
      <c r="E250" s="202">
        <f t="shared" si="92"/>
        <v>0</v>
      </c>
      <c r="F250" s="202">
        <f t="shared" si="92"/>
        <v>0</v>
      </c>
      <c r="G250" s="202">
        <f t="shared" si="92"/>
        <v>1</v>
      </c>
      <c r="H250" s="1">
        <f t="shared" si="93"/>
        <v>11</v>
      </c>
    </row>
    <row r="251" spans="1:8" ht="15.6" customHeight="1">
      <c r="A251" s="198" t="s">
        <v>663</v>
      </c>
      <c r="B251" s="202">
        <f t="shared" si="92"/>
        <v>2</v>
      </c>
      <c r="C251" s="202">
        <f t="shared" si="92"/>
        <v>8</v>
      </c>
      <c r="D251" s="202">
        <f t="shared" si="92"/>
        <v>0</v>
      </c>
      <c r="E251" s="202">
        <f t="shared" si="92"/>
        <v>0</v>
      </c>
      <c r="F251" s="202">
        <f t="shared" si="92"/>
        <v>0</v>
      </c>
      <c r="G251" s="202">
        <f t="shared" si="92"/>
        <v>1</v>
      </c>
      <c r="H251" s="1">
        <f t="shared" si="93"/>
        <v>11</v>
      </c>
    </row>
    <row r="252" spans="1:8" ht="15.6" customHeight="1">
      <c r="A252" s="198" t="s">
        <v>664</v>
      </c>
      <c r="B252" s="202">
        <f t="shared" si="92"/>
        <v>0</v>
      </c>
      <c r="C252" s="202">
        <f t="shared" si="92"/>
        <v>2</v>
      </c>
      <c r="D252" s="202">
        <f t="shared" si="92"/>
        <v>0</v>
      </c>
      <c r="E252" s="202">
        <f t="shared" si="92"/>
        <v>0</v>
      </c>
      <c r="F252" s="202">
        <f t="shared" si="92"/>
        <v>0</v>
      </c>
      <c r="G252" s="202">
        <f t="shared" si="92"/>
        <v>0</v>
      </c>
      <c r="H252" s="1">
        <f t="shared" si="93"/>
        <v>2</v>
      </c>
    </row>
    <row r="253" spans="1:8" ht="15.6" customHeight="1">
      <c r="A253" s="198" t="s">
        <v>665</v>
      </c>
      <c r="B253" s="202">
        <f t="shared" si="92"/>
        <v>0</v>
      </c>
      <c r="C253" s="202">
        <f t="shared" si="92"/>
        <v>2</v>
      </c>
      <c r="D253" s="202">
        <f t="shared" si="92"/>
        <v>0</v>
      </c>
      <c r="E253" s="202">
        <f t="shared" si="92"/>
        <v>0</v>
      </c>
      <c r="F253" s="202">
        <f t="shared" si="92"/>
        <v>0</v>
      </c>
      <c r="G253" s="202">
        <f t="shared" si="92"/>
        <v>0</v>
      </c>
      <c r="H253" s="1">
        <f t="shared" si="93"/>
        <v>2</v>
      </c>
    </row>
    <row r="254" spans="1:8" ht="15.6" customHeight="1">
      <c r="A254" s="198" t="s">
        <v>666</v>
      </c>
      <c r="B254" s="202">
        <f t="shared" si="92"/>
        <v>1</v>
      </c>
      <c r="C254" s="202">
        <f t="shared" si="92"/>
        <v>2</v>
      </c>
      <c r="D254" s="202">
        <f t="shared" si="92"/>
        <v>0</v>
      </c>
      <c r="E254" s="202">
        <f t="shared" si="92"/>
        <v>0</v>
      </c>
      <c r="F254" s="202">
        <f t="shared" si="92"/>
        <v>0</v>
      </c>
      <c r="G254" s="202">
        <f t="shared" si="92"/>
        <v>0</v>
      </c>
      <c r="H254" s="1">
        <f t="shared" si="93"/>
        <v>3</v>
      </c>
    </row>
    <row r="255" spans="1:8" ht="15.6" customHeight="1">
      <c r="A255" s="198" t="s">
        <v>667</v>
      </c>
      <c r="B255" s="202">
        <f t="shared" si="92"/>
        <v>1</v>
      </c>
      <c r="C255" s="202">
        <f t="shared" si="92"/>
        <v>2</v>
      </c>
      <c r="D255" s="202">
        <f t="shared" si="92"/>
        <v>0</v>
      </c>
      <c r="E255" s="202">
        <f t="shared" si="92"/>
        <v>0</v>
      </c>
      <c r="F255" s="202">
        <f t="shared" si="92"/>
        <v>0</v>
      </c>
      <c r="G255" s="202">
        <f t="shared" si="92"/>
        <v>0</v>
      </c>
      <c r="H255" s="1">
        <f t="shared" si="93"/>
        <v>3</v>
      </c>
    </row>
    <row r="256" spans="1:8" ht="15.6" customHeight="1">
      <c r="A256" s="198" t="s">
        <v>668</v>
      </c>
      <c r="B256" s="202">
        <f t="shared" si="92"/>
        <v>3</v>
      </c>
      <c r="C256" s="202">
        <f t="shared" si="92"/>
        <v>4</v>
      </c>
      <c r="D256" s="202">
        <f t="shared" si="92"/>
        <v>0</v>
      </c>
      <c r="E256" s="202">
        <f t="shared" si="92"/>
        <v>0</v>
      </c>
      <c r="F256" s="202">
        <f t="shared" si="92"/>
        <v>0</v>
      </c>
      <c r="G256" s="202">
        <f t="shared" si="92"/>
        <v>0</v>
      </c>
      <c r="H256" s="1">
        <f t="shared" si="93"/>
        <v>7</v>
      </c>
    </row>
    <row r="257" spans="1:8" ht="15.6" customHeight="1">
      <c r="A257" s="198" t="s">
        <v>669</v>
      </c>
      <c r="B257" s="202">
        <f t="shared" si="92"/>
        <v>0</v>
      </c>
      <c r="C257" s="202">
        <f t="shared" si="92"/>
        <v>1</v>
      </c>
      <c r="D257" s="202">
        <f t="shared" si="92"/>
        <v>0</v>
      </c>
      <c r="E257" s="202">
        <f t="shared" si="92"/>
        <v>0</v>
      </c>
      <c r="F257" s="202">
        <f t="shared" si="92"/>
        <v>0</v>
      </c>
      <c r="G257" s="202">
        <f t="shared" si="92"/>
        <v>0</v>
      </c>
      <c r="H257" s="1">
        <f t="shared" si="93"/>
        <v>1</v>
      </c>
    </row>
    <row r="258" spans="1:8" ht="15.6" customHeight="1">
      <c r="A258" s="198" t="s">
        <v>670</v>
      </c>
      <c r="B258" s="202">
        <f t="shared" si="92"/>
        <v>2</v>
      </c>
      <c r="C258" s="202">
        <f t="shared" si="92"/>
        <v>4</v>
      </c>
      <c r="D258" s="202">
        <f t="shared" si="92"/>
        <v>0</v>
      </c>
      <c r="E258" s="202">
        <f t="shared" si="92"/>
        <v>0</v>
      </c>
      <c r="F258" s="202">
        <f t="shared" si="92"/>
        <v>1</v>
      </c>
      <c r="G258" s="202">
        <f t="shared" si="92"/>
        <v>1</v>
      </c>
      <c r="H258" s="1">
        <f t="shared" si="93"/>
        <v>8</v>
      </c>
    </row>
    <row r="259" spans="1:8" ht="15.6" customHeight="1">
      <c r="A259" s="198" t="s">
        <v>671</v>
      </c>
      <c r="B259" s="202">
        <f t="shared" si="92"/>
        <v>2</v>
      </c>
      <c r="C259" s="202">
        <f t="shared" si="92"/>
        <v>4</v>
      </c>
      <c r="D259" s="202">
        <f t="shared" si="92"/>
        <v>0</v>
      </c>
      <c r="E259" s="202">
        <f t="shared" si="92"/>
        <v>0</v>
      </c>
      <c r="F259" s="202">
        <f t="shared" si="92"/>
        <v>1</v>
      </c>
      <c r="G259" s="202">
        <f t="shared" si="92"/>
        <v>0</v>
      </c>
      <c r="H259" s="1">
        <f t="shared" si="93"/>
        <v>7</v>
      </c>
    </row>
    <row r="260" spans="1:8" ht="15.6" customHeight="1">
      <c r="A260" s="198" t="s">
        <v>672</v>
      </c>
      <c r="B260" s="202">
        <f t="shared" si="92"/>
        <v>2</v>
      </c>
      <c r="C260" s="202">
        <f t="shared" si="92"/>
        <v>3</v>
      </c>
      <c r="D260" s="202">
        <f t="shared" si="92"/>
        <v>0</v>
      </c>
      <c r="E260" s="202">
        <f t="shared" si="92"/>
        <v>1</v>
      </c>
      <c r="F260" s="202">
        <f t="shared" si="92"/>
        <v>0</v>
      </c>
      <c r="G260" s="202">
        <f t="shared" si="92"/>
        <v>0</v>
      </c>
      <c r="H260" s="1">
        <f t="shared" si="93"/>
        <v>6</v>
      </c>
    </row>
    <row r="261" spans="1:8" ht="15.6" customHeight="1">
      <c r="A261" s="198" t="s">
        <v>673</v>
      </c>
      <c r="B261" s="202">
        <f t="shared" si="92"/>
        <v>1</v>
      </c>
      <c r="C261" s="202">
        <f t="shared" si="92"/>
        <v>2</v>
      </c>
      <c r="D261" s="202">
        <f t="shared" si="92"/>
        <v>0</v>
      </c>
      <c r="E261" s="202">
        <f t="shared" si="92"/>
        <v>0</v>
      </c>
      <c r="F261" s="202">
        <f t="shared" si="92"/>
        <v>0</v>
      </c>
      <c r="G261" s="202">
        <f t="shared" si="92"/>
        <v>0</v>
      </c>
      <c r="H261" s="1">
        <f t="shared" si="93"/>
        <v>3</v>
      </c>
    </row>
    <row r="262" spans="1:8" ht="15.6" customHeight="1">
      <c r="A262" s="198" t="s">
        <v>674</v>
      </c>
      <c r="B262" s="202">
        <f t="shared" si="92"/>
        <v>0</v>
      </c>
      <c r="C262" s="202">
        <f t="shared" si="92"/>
        <v>3</v>
      </c>
      <c r="D262" s="202">
        <f t="shared" si="92"/>
        <v>0</v>
      </c>
      <c r="E262" s="202">
        <f t="shared" si="92"/>
        <v>0</v>
      </c>
      <c r="F262" s="202">
        <f t="shared" si="92"/>
        <v>0</v>
      </c>
      <c r="G262" s="202">
        <f t="shared" si="92"/>
        <v>0</v>
      </c>
      <c r="H262" s="1">
        <f t="shared" si="93"/>
        <v>3</v>
      </c>
    </row>
    <row r="263" spans="1:8" ht="15.6" customHeight="1">
      <c r="A263" s="198" t="s">
        <v>675</v>
      </c>
      <c r="B263" s="202">
        <f t="shared" si="92"/>
        <v>1</v>
      </c>
      <c r="C263" s="202">
        <f t="shared" si="92"/>
        <v>3</v>
      </c>
      <c r="D263" s="202">
        <f t="shared" si="92"/>
        <v>0</v>
      </c>
      <c r="E263" s="202">
        <f t="shared" si="92"/>
        <v>0</v>
      </c>
      <c r="F263" s="202">
        <f t="shared" si="92"/>
        <v>0</v>
      </c>
      <c r="G263" s="202">
        <f t="shared" si="92"/>
        <v>0</v>
      </c>
      <c r="H263" s="1">
        <f t="shared" si="93"/>
        <v>4</v>
      </c>
    </row>
    <row r="264" spans="1:8" ht="15.6" customHeight="1">
      <c r="A264" s="198" t="s">
        <v>676</v>
      </c>
      <c r="B264" s="202">
        <f t="shared" si="92"/>
        <v>0</v>
      </c>
      <c r="C264" s="202">
        <f t="shared" si="92"/>
        <v>2</v>
      </c>
      <c r="D264" s="202">
        <f t="shared" si="92"/>
        <v>0</v>
      </c>
      <c r="E264" s="202">
        <f t="shared" si="92"/>
        <v>0</v>
      </c>
      <c r="F264" s="202">
        <f t="shared" si="92"/>
        <v>0</v>
      </c>
      <c r="G264" s="202">
        <f t="shared" si="92"/>
        <v>0</v>
      </c>
      <c r="H264" s="1">
        <f t="shared" si="93"/>
        <v>2</v>
      </c>
    </row>
    <row r="265" spans="1:8" ht="15.6" customHeight="1">
      <c r="A265" s="198" t="s">
        <v>677</v>
      </c>
      <c r="B265" s="202">
        <f t="shared" si="92"/>
        <v>0</v>
      </c>
      <c r="C265" s="202">
        <f t="shared" si="92"/>
        <v>3</v>
      </c>
      <c r="D265" s="202">
        <f t="shared" si="92"/>
        <v>0</v>
      </c>
      <c r="E265" s="202">
        <f t="shared" si="92"/>
        <v>1</v>
      </c>
      <c r="F265" s="202">
        <f t="shared" si="92"/>
        <v>0</v>
      </c>
      <c r="G265" s="202">
        <f t="shared" si="92"/>
        <v>0</v>
      </c>
      <c r="H265" s="1">
        <f t="shared" si="93"/>
        <v>4</v>
      </c>
    </row>
    <row r="266" spans="1:8" ht="15.6" customHeight="1">
      <c r="A266" s="184" t="s">
        <v>690</v>
      </c>
      <c r="B266" s="185">
        <f>SUM(B241:B265)</f>
        <v>43</v>
      </c>
      <c r="C266" s="185">
        <f t="shared" ref="C266" si="94">SUM(C241:C265)</f>
        <v>136</v>
      </c>
      <c r="D266" s="185">
        <f t="shared" ref="D266" si="95">SUM(D241:D265)</f>
        <v>4</v>
      </c>
      <c r="E266" s="185">
        <f t="shared" ref="E266" si="96">SUM(E241:E265)</f>
        <v>3</v>
      </c>
      <c r="F266" s="185">
        <f t="shared" ref="F266" si="97">SUM(F241:F265)</f>
        <v>5</v>
      </c>
      <c r="G266" s="186">
        <f t="shared" ref="G266" si="98">SUM(G241:G265)</f>
        <v>5</v>
      </c>
      <c r="H266" s="185">
        <f>SUM(H241:H265)</f>
        <v>196</v>
      </c>
    </row>
  </sheetData>
  <autoFilter ref="A1:Y209"/>
  <mergeCells count="1">
    <mergeCell ref="A209:O209"/>
  </mergeCells>
  <conditionalFormatting sqref="B8">
    <cfRule type="duplicateValues" dxfId="91" priority="63"/>
    <cfRule type="duplicateValues" dxfId="90" priority="64"/>
    <cfRule type="duplicateValues" dxfId="89" priority="65"/>
  </conditionalFormatting>
  <conditionalFormatting sqref="B44">
    <cfRule type="duplicateValues" dxfId="88" priority="1"/>
    <cfRule type="duplicateValues" dxfId="87" priority="2"/>
    <cfRule type="duplicateValues" dxfId="86" priority="3"/>
    <cfRule type="duplicateValues" dxfId="85" priority="4"/>
  </conditionalFormatting>
  <conditionalFormatting sqref="B46">
    <cfRule type="duplicateValues" dxfId="84" priority="118"/>
  </conditionalFormatting>
  <conditionalFormatting sqref="B48">
    <cfRule type="duplicateValues" dxfId="83" priority="122"/>
  </conditionalFormatting>
  <conditionalFormatting sqref="B49">
    <cfRule type="duplicateValues" dxfId="82" priority="36"/>
    <cfRule type="duplicateValues" dxfId="81" priority="37"/>
    <cfRule type="duplicateValues" dxfId="80" priority="38"/>
  </conditionalFormatting>
  <conditionalFormatting sqref="B50">
    <cfRule type="duplicateValues" dxfId="79" priority="33"/>
    <cfRule type="duplicateValues" dxfId="78" priority="34"/>
    <cfRule type="duplicateValues" dxfId="77" priority="35"/>
  </conditionalFormatting>
  <conditionalFormatting sqref="B59">
    <cfRule type="duplicateValues" dxfId="76" priority="119"/>
  </conditionalFormatting>
  <conditionalFormatting sqref="B71">
    <cfRule type="duplicateValues" dxfId="75" priority="125"/>
  </conditionalFormatting>
  <conditionalFormatting sqref="B72">
    <cfRule type="duplicateValues" dxfId="74" priority="115"/>
  </conditionalFormatting>
  <conditionalFormatting sqref="B86">
    <cfRule type="duplicateValues" dxfId="73" priority="9"/>
    <cfRule type="duplicateValues" dxfId="72" priority="10"/>
    <cfRule type="duplicateValues" dxfId="71" priority="11"/>
    <cfRule type="duplicateValues" dxfId="70" priority="12"/>
  </conditionalFormatting>
  <conditionalFormatting sqref="B89:B90">
    <cfRule type="duplicateValues" dxfId="69" priority="117"/>
  </conditionalFormatting>
  <conditionalFormatting sqref="B92">
    <cfRule type="duplicateValues" dxfId="68" priority="109"/>
  </conditionalFormatting>
  <conditionalFormatting sqref="B93">
    <cfRule type="duplicateValues" dxfId="67" priority="57"/>
    <cfRule type="duplicateValues" dxfId="66" priority="58"/>
    <cfRule type="duplicateValues" dxfId="65" priority="59"/>
  </conditionalFormatting>
  <conditionalFormatting sqref="B97">
    <cfRule type="duplicateValues" dxfId="64" priority="54"/>
    <cfRule type="duplicateValues" dxfId="63" priority="55"/>
    <cfRule type="duplicateValues" dxfId="62" priority="56"/>
  </conditionalFormatting>
  <conditionalFormatting sqref="B105">
    <cfRule type="duplicateValues" dxfId="61" priority="51"/>
    <cfRule type="duplicateValues" dxfId="60" priority="52"/>
    <cfRule type="duplicateValues" dxfId="59" priority="53"/>
  </conditionalFormatting>
  <conditionalFormatting sqref="B106">
    <cfRule type="duplicateValues" dxfId="58" priority="43"/>
    <cfRule type="duplicateValues" dxfId="57" priority="44"/>
    <cfRule type="duplicateValues" dxfId="56" priority="45"/>
  </conditionalFormatting>
  <conditionalFormatting sqref="B108">
    <cfRule type="duplicateValues" dxfId="55" priority="111"/>
    <cfRule type="duplicateValues" dxfId="54" priority="112"/>
  </conditionalFormatting>
  <conditionalFormatting sqref="B145">
    <cfRule type="duplicateValues" dxfId="53" priority="123"/>
  </conditionalFormatting>
  <conditionalFormatting sqref="B148">
    <cfRule type="duplicateValues" dxfId="52" priority="66"/>
    <cfRule type="duplicateValues" dxfId="51" priority="67"/>
    <cfRule type="duplicateValues" dxfId="50" priority="68"/>
  </conditionalFormatting>
  <conditionalFormatting sqref="B170">
    <cfRule type="duplicateValues" dxfId="49" priority="40"/>
    <cfRule type="duplicateValues" dxfId="48" priority="41"/>
    <cfRule type="duplicateValues" dxfId="47" priority="42"/>
  </conditionalFormatting>
  <conditionalFormatting sqref="B181">
    <cfRule type="duplicateValues" dxfId="46" priority="39"/>
  </conditionalFormatting>
  <conditionalFormatting sqref="B182:B195 B94:B96 B51:B58 B47 B60:B70 B98:B104 B109:B144 B107 B146:B147 B1:B7 B87:B88 B149:B169 B206:B208 B73:B85 B9:B43 B203:B204 B197 B171:B180 B45">
    <cfRule type="duplicateValues" dxfId="45" priority="524"/>
  </conditionalFormatting>
  <conditionalFormatting sqref="B196">
    <cfRule type="duplicateValues" dxfId="44" priority="5"/>
    <cfRule type="duplicateValues" dxfId="43" priority="6"/>
    <cfRule type="duplicateValues" dxfId="42" priority="7"/>
    <cfRule type="duplicateValues" dxfId="41" priority="8"/>
  </conditionalFormatting>
  <conditionalFormatting sqref="B198:B200 B202">
    <cfRule type="duplicateValues" dxfId="40" priority="379"/>
  </conditionalFormatting>
  <conditionalFormatting sqref="B205 B201 B91">
    <cfRule type="duplicateValues" dxfId="39" priority="381"/>
  </conditionalFormatting>
  <conditionalFormatting sqref="B210">
    <cfRule type="duplicateValues" dxfId="38" priority="108"/>
  </conditionalFormatting>
  <conditionalFormatting sqref="B416:B1048576 B1:B43 B197:B211 B87:B195 B45:B85">
    <cfRule type="duplicateValues" dxfId="37" priority="351"/>
  </conditionalFormatting>
  <conditionalFormatting sqref="B416:B1048576 B94:B96 B98:B104 B107 B109:B147 B1:B7 B210:B211 B182:B195 B87:B92 B201 B149:B169 B51:B85 B9:B43 B203:B208 B197 B171:B180 B45:B48">
    <cfRule type="duplicateValues" dxfId="36" priority="544"/>
  </conditionalFormatting>
  <conditionalFormatting sqref="B416:B1048576 B94:B96 B98:B104 B107:B147 B1:B7 B210:B211 B182:B195 B87:B92 B201 B149:B169 B51:B85 B9:B43 B203:B208 B197 B171:B180 B45:B48">
    <cfRule type="duplicateValues" dxfId="35" priority="562"/>
  </conditionalFormatting>
  <conditionalFormatting sqref="B212:G212">
    <cfRule type="duplicateValues" dxfId="34" priority="19"/>
    <cfRule type="duplicateValues" dxfId="33" priority="20"/>
    <cfRule type="duplicateValues" dxfId="32" priority="21"/>
  </conditionalFormatting>
  <conditionalFormatting sqref="B240:G240">
    <cfRule type="duplicateValues" dxfId="31" priority="13"/>
    <cfRule type="duplicateValues" dxfId="30" priority="14"/>
    <cfRule type="duplicateValues" dxfId="29" priority="15"/>
  </conditionalFormatting>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26"/>
  <sheetViews>
    <sheetView zoomScale="150" zoomScaleNormal="150" workbookViewId="0">
      <selection activeCell="F23" sqref="F23"/>
    </sheetView>
  </sheetViews>
  <sheetFormatPr baseColWidth="10" defaultRowHeight="14.25"/>
  <cols>
    <col min="1" max="1" width="25.25" customWidth="1"/>
    <col min="2" max="2" width="7.625" hidden="1" customWidth="1"/>
    <col min="3" max="3" width="23.375" customWidth="1"/>
  </cols>
  <sheetData>
    <row r="1" spans="1:3" ht="22.5">
      <c r="A1" s="102" t="s">
        <v>0</v>
      </c>
      <c r="B1" s="102" t="s">
        <v>806</v>
      </c>
      <c r="C1" s="102" t="s">
        <v>693</v>
      </c>
    </row>
    <row r="2" spans="1:3" ht="22.5" hidden="1">
      <c r="A2" s="93" t="s">
        <v>766</v>
      </c>
      <c r="B2" s="126" t="s">
        <v>889</v>
      </c>
      <c r="C2" s="93"/>
    </row>
    <row r="3" spans="1:3" ht="22.5" hidden="1">
      <c r="A3" s="93" t="s">
        <v>767</v>
      </c>
      <c r="B3" s="126" t="s">
        <v>889</v>
      </c>
      <c r="C3" s="93"/>
    </row>
    <row r="4" spans="1:3" hidden="1">
      <c r="A4" s="93" t="s">
        <v>768</v>
      </c>
      <c r="B4" s="126" t="s">
        <v>889</v>
      </c>
      <c r="C4" s="93"/>
    </row>
    <row r="5" spans="1:3" hidden="1">
      <c r="A5" s="93" t="s">
        <v>769</v>
      </c>
      <c r="B5" s="126" t="s">
        <v>889</v>
      </c>
      <c r="C5" s="93"/>
    </row>
    <row r="6" spans="1:3" hidden="1">
      <c r="A6" s="93" t="s">
        <v>770</v>
      </c>
      <c r="B6" s="126" t="s">
        <v>889</v>
      </c>
      <c r="C6" s="93"/>
    </row>
    <row r="7" spans="1:3">
      <c r="A7" s="93" t="s">
        <v>771</v>
      </c>
      <c r="B7" s="126" t="s">
        <v>889</v>
      </c>
      <c r="C7" s="124" t="s">
        <v>891</v>
      </c>
    </row>
    <row r="8" spans="1:3" ht="33.75">
      <c r="A8" s="93" t="s">
        <v>772</v>
      </c>
      <c r="B8" s="126" t="s">
        <v>889</v>
      </c>
      <c r="C8" s="124" t="s">
        <v>892</v>
      </c>
    </row>
    <row r="9" spans="1:3" ht="22.5">
      <c r="A9" s="93" t="s">
        <v>773</v>
      </c>
      <c r="B9" s="126" t="s">
        <v>889</v>
      </c>
      <c r="C9" s="124" t="s">
        <v>894</v>
      </c>
    </row>
    <row r="10" spans="1:3" hidden="1">
      <c r="A10" s="93" t="s">
        <v>774</v>
      </c>
      <c r="B10" s="126" t="s">
        <v>889</v>
      </c>
      <c r="C10" s="93"/>
    </row>
    <row r="11" spans="1:3" ht="22.5">
      <c r="A11" s="93" t="s">
        <v>662</v>
      </c>
      <c r="B11" s="126" t="s">
        <v>889</v>
      </c>
      <c r="C11" s="124" t="s">
        <v>893</v>
      </c>
    </row>
    <row r="12" spans="1:3" hidden="1">
      <c r="A12" s="93" t="s">
        <v>663</v>
      </c>
      <c r="B12" s="126" t="s">
        <v>889</v>
      </c>
      <c r="C12" s="93"/>
    </row>
    <row r="13" spans="1:3" hidden="1">
      <c r="A13" s="93" t="s">
        <v>664</v>
      </c>
      <c r="B13" s="126" t="s">
        <v>889</v>
      </c>
      <c r="C13" s="93"/>
    </row>
    <row r="14" spans="1:3" hidden="1">
      <c r="A14" s="93" t="s">
        <v>665</v>
      </c>
      <c r="B14" s="126" t="s">
        <v>889</v>
      </c>
      <c r="C14" s="93"/>
    </row>
    <row r="15" spans="1:3" hidden="1">
      <c r="A15" s="93" t="s">
        <v>666</v>
      </c>
      <c r="B15" s="126" t="s">
        <v>889</v>
      </c>
      <c r="C15" s="93"/>
    </row>
    <row r="16" spans="1:3" hidden="1">
      <c r="A16" s="93" t="s">
        <v>667</v>
      </c>
      <c r="B16" s="126" t="s">
        <v>889</v>
      </c>
      <c r="C16" s="93"/>
    </row>
    <row r="17" spans="1:3">
      <c r="A17" s="93" t="s">
        <v>668</v>
      </c>
      <c r="B17" s="126" t="s">
        <v>889</v>
      </c>
      <c r="C17" s="124" t="s">
        <v>891</v>
      </c>
    </row>
    <row r="18" spans="1:3" ht="33.75">
      <c r="A18" s="93" t="s">
        <v>669</v>
      </c>
      <c r="B18" s="126" t="s">
        <v>889</v>
      </c>
      <c r="C18" s="124" t="s">
        <v>895</v>
      </c>
    </row>
    <row r="19" spans="1:3" ht="22.5" hidden="1">
      <c r="A19" s="93" t="s">
        <v>670</v>
      </c>
      <c r="B19" s="126" t="s">
        <v>889</v>
      </c>
      <c r="C19" s="93"/>
    </row>
    <row r="20" spans="1:3" ht="22.5">
      <c r="A20" s="93" t="s">
        <v>671</v>
      </c>
      <c r="B20" s="126" t="s">
        <v>889</v>
      </c>
      <c r="C20" s="124" t="s">
        <v>896</v>
      </c>
    </row>
    <row r="21" spans="1:3" ht="22.5" hidden="1">
      <c r="A21" s="93" t="s">
        <v>672</v>
      </c>
      <c r="B21" s="126" t="s">
        <v>889</v>
      </c>
      <c r="C21" s="93"/>
    </row>
    <row r="22" spans="1:3" ht="22.5" hidden="1">
      <c r="A22" s="93" t="s">
        <v>673</v>
      </c>
      <c r="B22" s="126" t="s">
        <v>889</v>
      </c>
      <c r="C22" s="93"/>
    </row>
    <row r="23" spans="1:3" ht="22.5">
      <c r="A23" s="93" t="s">
        <v>674</v>
      </c>
      <c r="B23" s="126" t="s">
        <v>889</v>
      </c>
      <c r="C23" s="124" t="s">
        <v>891</v>
      </c>
    </row>
    <row r="24" spans="1:3" ht="22.5">
      <c r="A24" s="93" t="s">
        <v>675</v>
      </c>
      <c r="B24" s="126" t="s">
        <v>889</v>
      </c>
      <c r="C24" s="124" t="s">
        <v>897</v>
      </c>
    </row>
    <row r="25" spans="1:3" ht="22.5">
      <c r="A25" s="93" t="s">
        <v>676</v>
      </c>
      <c r="B25" s="126" t="s">
        <v>889</v>
      </c>
      <c r="C25" s="124" t="s">
        <v>891</v>
      </c>
    </row>
    <row r="26" spans="1:3" ht="33.75">
      <c r="A26" s="93" t="s">
        <v>677</v>
      </c>
      <c r="B26" s="126" t="s">
        <v>889</v>
      </c>
      <c r="C26" s="124" t="s">
        <v>898</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30"/>
  <sheetViews>
    <sheetView topLeftCell="E1" workbookViewId="0">
      <selection activeCell="I21" sqref="I21"/>
    </sheetView>
  </sheetViews>
  <sheetFormatPr baseColWidth="10" defaultColWidth="11" defaultRowHeight="14.25"/>
  <cols>
    <col min="1" max="1" width="25.125" customWidth="1"/>
    <col min="2" max="2" width="45.625" customWidth="1"/>
    <col min="3" max="3" width="10.625" customWidth="1"/>
    <col min="4" max="4" width="16.75" bestFit="1" customWidth="1"/>
    <col min="5" max="5" width="15.625" bestFit="1" customWidth="1"/>
    <col min="6" max="6" width="14.625" bestFit="1" customWidth="1"/>
    <col min="7" max="7" width="16.75" bestFit="1" customWidth="1"/>
    <col min="8" max="9" width="14.875" bestFit="1" customWidth="1"/>
    <col min="11" max="11" width="15.125" bestFit="1" customWidth="1"/>
  </cols>
  <sheetData>
    <row r="1" spans="1:12" ht="29.25" thickBot="1">
      <c r="B1" s="89" t="s">
        <v>761</v>
      </c>
      <c r="C1" s="89" t="s">
        <v>684</v>
      </c>
      <c r="D1" s="89" t="s">
        <v>762</v>
      </c>
      <c r="E1" s="90" t="s">
        <v>436</v>
      </c>
      <c r="F1" s="91" t="s">
        <v>733</v>
      </c>
      <c r="G1" s="165" t="s">
        <v>690</v>
      </c>
      <c r="H1" s="166" t="s">
        <v>734</v>
      </c>
    </row>
    <row r="2" spans="1:12" ht="14.25" customHeight="1">
      <c r="A2" s="161" t="s">
        <v>727</v>
      </c>
      <c r="B2" s="162" t="s">
        <v>191</v>
      </c>
      <c r="C2" s="162">
        <f>+COUNTIFS(PERSONAL!$G$2:$P$190,B2)</f>
        <v>130</v>
      </c>
      <c r="D2" s="172">
        <f>+SUMIFS(PERSONAL!$U$2:$U$208,PERSONAL!$G$2:$G$208,B2)</f>
        <v>323154861</v>
      </c>
      <c r="E2" s="172">
        <f>+D2*10%</f>
        <v>32315486.100000001</v>
      </c>
      <c r="F2" s="172">
        <f>+E2*19%</f>
        <v>6139942.3590000002</v>
      </c>
      <c r="G2" s="173">
        <f>+ROUND((D2+E2+F2),0)+48</f>
        <v>361610337</v>
      </c>
      <c r="H2" s="220">
        <f>+PERSONAL!X209</f>
        <v>517990108</v>
      </c>
      <c r="I2" s="222">
        <f>+SUM(G2:G7)-H2</f>
        <v>0</v>
      </c>
      <c r="K2" s="78">
        <f>+PERSONAL!C238</f>
        <v>361610337</v>
      </c>
      <c r="L2" s="78">
        <f>+K2-G2</f>
        <v>0</v>
      </c>
    </row>
    <row r="3" spans="1:12" ht="14.25" customHeight="1">
      <c r="A3" s="163" t="s">
        <v>727</v>
      </c>
      <c r="B3" s="76" t="s">
        <v>13</v>
      </c>
      <c r="C3" s="74">
        <f>+COUNTIFS(PERSONAL!$G$2:$P$190,B3)</f>
        <v>43</v>
      </c>
      <c r="D3" s="174">
        <f>+SUMIFS(PERSONAL!$U$2:$U$208,PERSONAL!$G$2:$G$208,B3)</f>
        <v>101380245</v>
      </c>
      <c r="E3" s="174">
        <f t="shared" ref="E3:E7" si="0">+D3*10%</f>
        <v>10138024.5</v>
      </c>
      <c r="F3" s="174">
        <f t="shared" ref="F3:F7" si="1">+E3*19%</f>
        <v>1926224.655</v>
      </c>
      <c r="G3" s="175">
        <f>+ROUND((D3+E3+F3),0)+13</f>
        <v>113444507</v>
      </c>
      <c r="H3" s="221"/>
      <c r="I3" s="223"/>
      <c r="K3" s="78">
        <f>+PERSONAL!B238</f>
        <v>113444507</v>
      </c>
      <c r="L3" s="78">
        <f t="shared" ref="L3:L7" si="2">+K3-G3</f>
        <v>0</v>
      </c>
    </row>
    <row r="4" spans="1:12" ht="14.25" customHeight="1">
      <c r="A4" s="163" t="s">
        <v>727</v>
      </c>
      <c r="B4" s="74" t="s">
        <v>210</v>
      </c>
      <c r="C4" s="74">
        <f>+COUNTIFS(PERSONAL!$G$2:$P$190,B4)</f>
        <v>4</v>
      </c>
      <c r="D4" s="174">
        <f>+SUMIFS(PERSONAL!$U$2:$U$208,PERSONAL!$G$2:$G$208,B4)</f>
        <v>7503332</v>
      </c>
      <c r="E4" s="174">
        <f t="shared" si="0"/>
        <v>750333.20000000007</v>
      </c>
      <c r="F4" s="174">
        <f t="shared" si="1"/>
        <v>142563.30800000002</v>
      </c>
      <c r="G4" s="175">
        <f t="shared" ref="G4" si="3">+ROUND((D4+E4+F4),0)</f>
        <v>8396229</v>
      </c>
      <c r="H4" s="221"/>
      <c r="I4" s="223"/>
      <c r="K4" s="78">
        <f>+PERSONAL!D238</f>
        <v>8396229</v>
      </c>
      <c r="L4" s="78">
        <f t="shared" si="2"/>
        <v>0</v>
      </c>
    </row>
    <row r="5" spans="1:12" ht="14.25" customHeight="1">
      <c r="A5" s="163" t="s">
        <v>727</v>
      </c>
      <c r="B5" s="74" t="s">
        <v>89</v>
      </c>
      <c r="C5" s="74">
        <f>+COUNTIFS(PERSONAL!$G$2:$P$190,B5)</f>
        <v>5</v>
      </c>
      <c r="D5" s="183">
        <f>+SUMIFS(PERSONAL!$U$2:$U$208,PERSONAL!$G$2:$G$208,B5)</f>
        <v>12619240</v>
      </c>
      <c r="E5" s="183">
        <f t="shared" si="0"/>
        <v>1261924</v>
      </c>
      <c r="F5" s="183">
        <f t="shared" si="1"/>
        <v>239765.56</v>
      </c>
      <c r="G5" s="175">
        <f>+ROUND((D5+E5+F5),0)+1</f>
        <v>14120931</v>
      </c>
      <c r="H5" s="221"/>
      <c r="I5" s="223"/>
      <c r="K5" s="78">
        <f>+PERSONAL!F238</f>
        <v>14120931</v>
      </c>
      <c r="L5" s="78">
        <f t="shared" si="2"/>
        <v>0</v>
      </c>
    </row>
    <row r="6" spans="1:12" ht="14.25" customHeight="1">
      <c r="A6" s="163" t="s">
        <v>727</v>
      </c>
      <c r="B6" s="74" t="s">
        <v>45</v>
      </c>
      <c r="C6" s="74">
        <f>+COUNTIFS(PERSONAL!$G$2:$P$190,B6)</f>
        <v>5</v>
      </c>
      <c r="D6" s="174">
        <f>+SUMIFS(PERSONAL!$U$2:$U$208,PERSONAL!$G$2:$G$208,B6)</f>
        <v>12789770</v>
      </c>
      <c r="E6" s="174">
        <f t="shared" ref="E6" si="4">+D6*10%</f>
        <v>1278977</v>
      </c>
      <c r="F6" s="174">
        <f t="shared" ref="F6" si="5">+E6*19%</f>
        <v>243005.63</v>
      </c>
      <c r="G6" s="175">
        <f>+ROUND((D6+E6+F6),0)+2</f>
        <v>14311755</v>
      </c>
      <c r="H6" s="221"/>
      <c r="I6" s="223"/>
      <c r="K6" s="78">
        <f>+PERSONAL!G238</f>
        <v>14311755</v>
      </c>
      <c r="L6" s="78">
        <f t="shared" si="2"/>
        <v>0</v>
      </c>
    </row>
    <row r="7" spans="1:12" ht="14.25" customHeight="1">
      <c r="A7" s="163" t="s">
        <v>727</v>
      </c>
      <c r="B7" s="74" t="s">
        <v>410</v>
      </c>
      <c r="C7" s="74">
        <f>+COUNTIFS(PERSONAL!$G$2:$P$190,B7)</f>
        <v>2</v>
      </c>
      <c r="D7" s="174">
        <f>+SUMIFS(PERSONAL!$U$2:$U$208,PERSONAL!$G$2:$G$208,B7)</f>
        <v>5456969</v>
      </c>
      <c r="E7" s="174">
        <f t="shared" si="0"/>
        <v>545696.9</v>
      </c>
      <c r="F7" s="174">
        <f t="shared" si="1"/>
        <v>103682.41100000001</v>
      </c>
      <c r="G7" s="175">
        <f>+ROUND((D7+E7+F7),0)+1</f>
        <v>6106349</v>
      </c>
      <c r="H7" s="221"/>
      <c r="I7" s="223"/>
      <c r="K7" s="78">
        <f>+PERSONAL!E238</f>
        <v>6106349</v>
      </c>
      <c r="L7" s="78">
        <f t="shared" si="2"/>
        <v>0</v>
      </c>
    </row>
    <row r="8" spans="1:12" ht="15" thickBot="1">
      <c r="A8" s="164"/>
      <c r="B8" s="164" t="s">
        <v>728</v>
      </c>
      <c r="C8" s="167">
        <v>1</v>
      </c>
      <c r="D8" s="176">
        <f>+'INSUMOS Y MAQUINARIA'!BN131</f>
        <v>50335373</v>
      </c>
      <c r="E8" s="176">
        <f>+D8*10%</f>
        <v>5033537.3000000007</v>
      </c>
      <c r="F8" s="176">
        <f>+E8*19%</f>
        <v>956372.08700000017</v>
      </c>
      <c r="G8" s="177">
        <f>+ROUND((D8+E8+F8),0)-6</f>
        <v>56325276</v>
      </c>
      <c r="H8" s="178">
        <f>+'INSUMOS Y MAQUINARIA'!BM131</f>
        <v>56325276</v>
      </c>
      <c r="I8" s="160">
        <f>+G8-H8</f>
        <v>0</v>
      </c>
    </row>
    <row r="9" spans="1:12" ht="15" thickBot="1">
      <c r="A9" s="224" t="s">
        <v>726</v>
      </c>
      <c r="B9" s="225"/>
      <c r="C9" s="159"/>
      <c r="D9" s="179">
        <f>SUM(D2:D8)</f>
        <v>513239790</v>
      </c>
      <c r="E9" s="179">
        <f>SUM(E2:E8)</f>
        <v>51323979</v>
      </c>
      <c r="F9" s="180">
        <f>SUM(F2:F8)</f>
        <v>9751556.0100000016</v>
      </c>
      <c r="G9" s="181">
        <f>SUM(G2:G8)</f>
        <v>574315384</v>
      </c>
      <c r="H9" s="182">
        <f>SUM(H2:H8)</f>
        <v>574315384</v>
      </c>
      <c r="I9" s="75"/>
      <c r="K9" s="182">
        <f>SUM(K2:K8)</f>
        <v>517990108</v>
      </c>
      <c r="L9" s="182">
        <f>SUM(L2:L8)</f>
        <v>0</v>
      </c>
    </row>
    <row r="10" spans="1:12">
      <c r="A10" s="83"/>
      <c r="B10" s="84"/>
      <c r="C10" s="84"/>
      <c r="D10" s="81"/>
      <c r="E10" s="81"/>
      <c r="F10" s="81"/>
      <c r="G10" s="86">
        <f>+G9-H9</f>
        <v>0</v>
      </c>
      <c r="H10" s="87" t="s">
        <v>735</v>
      </c>
      <c r="I10" s="75"/>
    </row>
    <row r="11" spans="1:12">
      <c r="A11" s="85"/>
      <c r="B11" s="85"/>
      <c r="C11" s="85"/>
      <c r="D11" s="82"/>
      <c r="E11" s="157"/>
      <c r="F11" s="157"/>
      <c r="G11" s="82"/>
      <c r="H11" s="168"/>
      <c r="I11" s="168"/>
      <c r="J11" s="169"/>
      <c r="K11" s="169"/>
    </row>
    <row r="12" spans="1:12">
      <c r="A12" s="75"/>
      <c r="B12" s="75"/>
      <c r="C12" s="75"/>
      <c r="D12" s="77"/>
      <c r="E12" s="158"/>
      <c r="F12" s="170"/>
      <c r="G12" s="77"/>
      <c r="H12" s="168"/>
      <c r="I12" s="168"/>
      <c r="J12" s="169"/>
      <c r="K12" s="169"/>
    </row>
    <row r="13" spans="1:12">
      <c r="D13" s="169"/>
      <c r="E13" s="170"/>
      <c r="F13" s="170"/>
      <c r="G13" s="171"/>
      <c r="H13" s="169"/>
      <c r="I13" s="169"/>
      <c r="J13" s="169"/>
      <c r="K13" s="169"/>
    </row>
    <row r="14" spans="1:12">
      <c r="D14" s="203"/>
      <c r="E14" s="204"/>
      <c r="F14" s="204"/>
      <c r="G14" s="203"/>
      <c r="H14" s="203"/>
      <c r="I14" s="203"/>
      <c r="J14" s="169"/>
      <c r="K14" s="169"/>
    </row>
    <row r="15" spans="1:12">
      <c r="D15" s="203">
        <v>323154861</v>
      </c>
      <c r="E15" s="204">
        <v>32315486.099999931</v>
      </c>
      <c r="F15" s="204">
        <v>6139942.3590000123</v>
      </c>
      <c r="G15" s="203">
        <f>+D15+E15+F15</f>
        <v>361610289.45899993</v>
      </c>
      <c r="H15" s="203"/>
      <c r="I15" s="203"/>
      <c r="J15" s="169"/>
      <c r="K15" s="169"/>
    </row>
    <row r="16" spans="1:12">
      <c r="D16" s="203">
        <v>101380245</v>
      </c>
      <c r="E16" s="204">
        <v>10138024.500000006</v>
      </c>
      <c r="F16" s="204">
        <v>1926224.6549999996</v>
      </c>
      <c r="G16" s="203">
        <f t="shared" ref="G16:G20" si="6">+D16+E16+F16</f>
        <v>113444494.155</v>
      </c>
      <c r="H16" s="203"/>
      <c r="I16" s="203"/>
      <c r="J16" s="169"/>
      <c r="K16" s="169"/>
    </row>
    <row r="17" spans="4:11">
      <c r="D17" s="203">
        <v>7503332</v>
      </c>
      <c r="E17" s="204">
        <v>750333.20000000007</v>
      </c>
      <c r="F17" s="204">
        <v>142563.30800000002</v>
      </c>
      <c r="G17" s="203">
        <f t="shared" si="6"/>
        <v>8396228.5079999994</v>
      </c>
      <c r="H17" s="203"/>
      <c r="I17" s="203"/>
      <c r="J17" s="169"/>
      <c r="K17" s="169"/>
    </row>
    <row r="18" spans="4:11">
      <c r="D18" s="203">
        <v>12619240</v>
      </c>
      <c r="E18" s="204">
        <v>1261924</v>
      </c>
      <c r="F18" s="204">
        <v>239765.56</v>
      </c>
      <c r="G18" s="203">
        <f t="shared" si="6"/>
        <v>14120929.560000001</v>
      </c>
      <c r="H18" s="203"/>
      <c r="I18" s="203"/>
      <c r="J18" s="169"/>
      <c r="K18" s="169"/>
    </row>
    <row r="19" spans="4:11">
      <c r="D19" s="203">
        <v>12789770</v>
      </c>
      <c r="E19" s="204">
        <v>1278977</v>
      </c>
      <c r="F19" s="204">
        <v>243005.63</v>
      </c>
      <c r="G19" s="203">
        <f t="shared" si="6"/>
        <v>14311752.630000001</v>
      </c>
      <c r="H19" s="203"/>
      <c r="I19" s="203"/>
      <c r="J19" s="169"/>
      <c r="K19" s="169"/>
    </row>
    <row r="20" spans="4:11">
      <c r="D20" s="203">
        <v>5456969</v>
      </c>
      <c r="E20" s="204">
        <v>545696.90000000014</v>
      </c>
      <c r="F20" s="204">
        <v>103682.41100000001</v>
      </c>
      <c r="G20" s="203">
        <f t="shared" si="6"/>
        <v>6106348.3110000007</v>
      </c>
      <c r="H20" s="203"/>
      <c r="I20" s="203"/>
      <c r="J20" s="169"/>
      <c r="K20" s="169"/>
    </row>
    <row r="21" spans="4:11" ht="15">
      <c r="D21" s="205">
        <f>SUM(D15:D20)</f>
        <v>462904417</v>
      </c>
      <c r="E21" s="205">
        <f t="shared" ref="E21:G21" si="7">SUM(E15:E20)</f>
        <v>46290441.699999936</v>
      </c>
      <c r="F21" s="205">
        <f t="shared" si="7"/>
        <v>8795183.9230000135</v>
      </c>
      <c r="G21" s="205">
        <f t="shared" si="7"/>
        <v>517990042.62299997</v>
      </c>
      <c r="H21" s="203"/>
      <c r="I21" s="203"/>
      <c r="J21" s="169"/>
      <c r="K21" s="169"/>
    </row>
    <row r="22" spans="4:11">
      <c r="D22" s="203"/>
      <c r="E22" s="204"/>
      <c r="F22" s="204"/>
      <c r="G22" s="203"/>
      <c r="H22" s="203"/>
      <c r="I22" s="203"/>
      <c r="J22" s="169"/>
      <c r="K22" s="169"/>
    </row>
    <row r="23" spans="4:11">
      <c r="D23" s="203">
        <f>+D2-D15</f>
        <v>0</v>
      </c>
      <c r="E23" s="203">
        <f t="shared" ref="E23:G23" si="8">+E2-E15</f>
        <v>7.0780515670776367E-8</v>
      </c>
      <c r="F23" s="203">
        <f t="shared" si="8"/>
        <v>-1.2107193470001221E-8</v>
      </c>
      <c r="G23" s="203">
        <f t="shared" si="8"/>
        <v>47.541000068187714</v>
      </c>
      <c r="H23" s="203"/>
      <c r="I23" s="203"/>
      <c r="J23" s="169"/>
      <c r="K23" s="169"/>
    </row>
    <row r="24" spans="4:11">
      <c r="D24" s="203">
        <f t="shared" ref="D24:G28" si="9">+D3-D16</f>
        <v>0</v>
      </c>
      <c r="E24" s="203">
        <f t="shared" si="9"/>
        <v>0</v>
      </c>
      <c r="F24" s="203">
        <f t="shared" si="9"/>
        <v>0</v>
      </c>
      <c r="G24" s="203">
        <f t="shared" si="9"/>
        <v>12.844999998807907</v>
      </c>
      <c r="H24" s="203"/>
      <c r="I24" s="203"/>
      <c r="J24" s="169"/>
      <c r="K24" s="169"/>
    </row>
    <row r="25" spans="4:11">
      <c r="D25" s="203">
        <f t="shared" si="9"/>
        <v>0</v>
      </c>
      <c r="E25" s="203">
        <f t="shared" si="9"/>
        <v>0</v>
      </c>
      <c r="F25" s="203">
        <f t="shared" si="9"/>
        <v>0</v>
      </c>
      <c r="G25" s="203">
        <f t="shared" si="9"/>
        <v>0.49200000055134296</v>
      </c>
      <c r="H25" s="203"/>
      <c r="I25" s="203"/>
      <c r="J25" s="169"/>
      <c r="K25" s="169"/>
    </row>
    <row r="26" spans="4:11">
      <c r="D26" s="203">
        <f t="shared" si="9"/>
        <v>0</v>
      </c>
      <c r="E26" s="203">
        <f t="shared" si="9"/>
        <v>0</v>
      </c>
      <c r="F26" s="203">
        <f t="shared" si="9"/>
        <v>0</v>
      </c>
      <c r="G26" s="203">
        <f t="shared" si="9"/>
        <v>1.4399999994784594</v>
      </c>
      <c r="H26" s="169"/>
      <c r="I26" s="169"/>
      <c r="J26" s="169"/>
      <c r="K26" s="169"/>
    </row>
    <row r="27" spans="4:11">
      <c r="D27" s="203">
        <f t="shared" si="9"/>
        <v>0</v>
      </c>
      <c r="E27" s="203">
        <f t="shared" si="9"/>
        <v>0</v>
      </c>
      <c r="F27" s="203">
        <f t="shared" si="9"/>
        <v>0</v>
      </c>
      <c r="G27" s="203">
        <f t="shared" si="9"/>
        <v>2.3699999991804361</v>
      </c>
    </row>
    <row r="28" spans="4:11">
      <c r="D28" s="203">
        <f t="shared" si="9"/>
        <v>0</v>
      </c>
      <c r="E28" s="203">
        <f t="shared" si="9"/>
        <v>0</v>
      </c>
      <c r="F28" s="203">
        <f t="shared" si="9"/>
        <v>0</v>
      </c>
      <c r="G28" s="203">
        <f t="shared" si="9"/>
        <v>0.68899999931454659</v>
      </c>
    </row>
    <row r="29" spans="4:11" ht="15">
      <c r="D29" s="203"/>
      <c r="G29" s="206">
        <f>SUM(G23:G28)</f>
        <v>65.377000065520406</v>
      </c>
    </row>
    <row r="30" spans="4:11">
      <c r="D30" s="203"/>
    </row>
  </sheetData>
  <mergeCells count="3">
    <mergeCell ref="H2:H7"/>
    <mergeCell ref="I2:I7"/>
    <mergeCell ref="A9:B9"/>
  </mergeCells>
  <conditionalFormatting sqref="D10:G11">
    <cfRule type="expression" dxfId="28" priority="5">
      <formula>ISERROR($M10)</formula>
    </cfRule>
  </conditionalFormatting>
  <conditionalFormatting sqref="G9:H9">
    <cfRule type="cellIs" dxfId="27" priority="564" operator="equal">
      <formula>#REF!</formula>
    </cfRule>
  </conditionalFormatting>
  <conditionalFormatting sqref="K9:L9">
    <cfRule type="cellIs" dxfId="26" priority="1" operator="equal">
      <formula>#REF!</formula>
    </cfRule>
  </conditionalFormatting>
  <dataValidations disablePrompts="1" count="1">
    <dataValidation type="decimal" allowBlank="1" showInputMessage="1" showErrorMessage="1" errorTitle="Error" error="El AIU no debe ser menor al 10% y al ofertado en la Operación Principal." promptTitle="Porcentaje de AIU" prompt="El AIU no debe ser menor al 10% y al ofertado en la Operación Principal." sqref="B10:C10">
      <formula1>0.01</formula1>
      <formula2>#REF!</formula2>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J8"/>
  <sheetViews>
    <sheetView workbookViewId="0">
      <selection activeCell="AM25" sqref="AM25"/>
    </sheetView>
  </sheetViews>
  <sheetFormatPr baseColWidth="10" defaultRowHeight="14.25"/>
  <cols>
    <col min="6" max="14" width="1.875" bestFit="1" customWidth="1"/>
    <col min="15" max="34" width="2.875" bestFit="1" customWidth="1"/>
    <col min="35" max="35" width="2.875" customWidth="1"/>
    <col min="36" max="36" width="2.875" bestFit="1" customWidth="1"/>
  </cols>
  <sheetData>
    <row r="1" spans="1:36" ht="15">
      <c r="A1" s="227" t="s">
        <v>1</v>
      </c>
      <c r="B1" s="227" t="s">
        <v>2</v>
      </c>
      <c r="C1" s="227" t="s">
        <v>3</v>
      </c>
      <c r="D1" s="227" t="s">
        <v>4</v>
      </c>
      <c r="E1" s="227" t="s">
        <v>5</v>
      </c>
      <c r="F1" s="226" t="s">
        <v>856</v>
      </c>
      <c r="G1" s="226"/>
      <c r="H1" s="226"/>
      <c r="I1" s="226"/>
      <c r="J1" s="226"/>
      <c r="K1" s="226"/>
      <c r="L1" s="226"/>
      <c r="M1" s="226"/>
      <c r="N1" s="226"/>
      <c r="O1" s="226"/>
      <c r="P1" s="226"/>
      <c r="Q1" s="226"/>
      <c r="R1" s="226"/>
      <c r="S1" s="226"/>
      <c r="T1" s="226"/>
      <c r="U1" s="226"/>
      <c r="V1" s="226"/>
      <c r="W1" s="226"/>
      <c r="X1" s="226"/>
      <c r="Y1" s="226"/>
      <c r="Z1" s="226"/>
      <c r="AA1" s="226"/>
      <c r="AB1" s="226"/>
      <c r="AC1" s="226"/>
      <c r="AD1" s="226"/>
      <c r="AE1" s="226"/>
      <c r="AF1" s="226"/>
      <c r="AG1" s="226"/>
      <c r="AH1" s="226"/>
      <c r="AI1" s="226"/>
      <c r="AJ1" s="226"/>
    </row>
    <row r="2" spans="1:36" ht="15">
      <c r="A2" s="227"/>
      <c r="B2" s="227"/>
      <c r="C2" s="227"/>
      <c r="D2" s="227"/>
      <c r="E2" s="227"/>
      <c r="F2" s="98">
        <v>1</v>
      </c>
      <c r="G2" s="98">
        <v>2</v>
      </c>
      <c r="H2" s="98">
        <v>3</v>
      </c>
      <c r="I2" s="98">
        <v>4</v>
      </c>
      <c r="J2" s="98">
        <v>5</v>
      </c>
      <c r="K2" s="98">
        <v>6</v>
      </c>
      <c r="L2" s="98">
        <v>7</v>
      </c>
      <c r="M2" s="98">
        <v>8</v>
      </c>
      <c r="N2" s="98">
        <v>9</v>
      </c>
      <c r="O2" s="98">
        <v>10</v>
      </c>
      <c r="P2" s="98">
        <v>11</v>
      </c>
      <c r="Q2" s="98">
        <v>12</v>
      </c>
      <c r="R2" s="98">
        <v>13</v>
      </c>
      <c r="S2" s="98">
        <v>14</v>
      </c>
      <c r="T2" s="98">
        <v>15</v>
      </c>
      <c r="U2" s="98">
        <v>16</v>
      </c>
      <c r="V2" s="98">
        <v>17</v>
      </c>
      <c r="W2" s="98">
        <v>18</v>
      </c>
      <c r="X2" s="98">
        <v>19</v>
      </c>
      <c r="Y2" s="98">
        <v>20</v>
      </c>
      <c r="Z2" s="98">
        <v>21</v>
      </c>
      <c r="AA2" s="98">
        <v>22</v>
      </c>
      <c r="AB2" s="98">
        <v>23</v>
      </c>
      <c r="AC2" s="98">
        <v>24</v>
      </c>
      <c r="AD2" s="98">
        <v>25</v>
      </c>
      <c r="AE2" s="98">
        <v>26</v>
      </c>
      <c r="AF2" s="98">
        <v>27</v>
      </c>
      <c r="AG2" s="98">
        <v>28</v>
      </c>
      <c r="AH2" s="98">
        <v>29</v>
      </c>
      <c r="AI2" s="98">
        <v>30</v>
      </c>
      <c r="AJ2" s="98">
        <v>31</v>
      </c>
    </row>
    <row r="3" spans="1:36" ht="15" customHeight="1">
      <c r="A3" s="7">
        <v>52011281</v>
      </c>
      <c r="B3" s="7" t="s">
        <v>270</v>
      </c>
      <c r="C3" s="7"/>
      <c r="D3" s="7" t="s">
        <v>754</v>
      </c>
      <c r="E3" s="7"/>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row>
    <row r="4" spans="1:36">
      <c r="A4" s="7">
        <v>52316756</v>
      </c>
      <c r="B4" s="7" t="s">
        <v>35</v>
      </c>
      <c r="C4" s="7" t="s">
        <v>741</v>
      </c>
      <c r="D4" s="7" t="s">
        <v>288</v>
      </c>
      <c r="E4" s="7"/>
      <c r="F4" s="122"/>
      <c r="G4" s="122"/>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122"/>
      <c r="AI4" s="122"/>
      <c r="AJ4" s="122"/>
    </row>
    <row r="5" spans="1:36">
      <c r="A5" s="7">
        <v>1013583198</v>
      </c>
      <c r="B5" s="7" t="s">
        <v>373</v>
      </c>
      <c r="C5" s="7" t="s">
        <v>94</v>
      </c>
      <c r="D5" s="7" t="s">
        <v>740</v>
      </c>
      <c r="E5" s="7" t="s">
        <v>265</v>
      </c>
      <c r="F5" s="122"/>
      <c r="G5" s="122"/>
      <c r="H5" s="122"/>
      <c r="I5" s="122"/>
      <c r="J5" s="122"/>
      <c r="K5" s="122"/>
      <c r="L5" s="122"/>
      <c r="M5" s="122"/>
      <c r="N5" s="122"/>
      <c r="O5" s="122"/>
      <c r="P5" s="122"/>
      <c r="Q5" s="122"/>
      <c r="R5" s="122"/>
      <c r="S5" s="122"/>
      <c r="T5" s="122"/>
      <c r="U5" s="122"/>
      <c r="V5" s="122"/>
      <c r="W5" s="122"/>
      <c r="X5" s="122"/>
      <c r="Y5" s="122"/>
      <c r="Z5" s="122"/>
      <c r="AA5" s="122"/>
      <c r="AB5" s="122"/>
      <c r="AC5" s="122"/>
      <c r="AD5" s="122"/>
      <c r="AE5" s="122"/>
      <c r="AF5" s="122"/>
      <c r="AG5" s="122"/>
      <c r="AH5" s="122"/>
      <c r="AI5" s="122"/>
      <c r="AJ5" s="122"/>
    </row>
    <row r="6" spans="1:36">
      <c r="A6" s="99">
        <v>52443651</v>
      </c>
      <c r="B6" s="99" t="s">
        <v>266</v>
      </c>
      <c r="C6" s="99" t="s">
        <v>94</v>
      </c>
      <c r="D6" s="99" t="s">
        <v>53</v>
      </c>
      <c r="E6" s="99" t="s">
        <v>791</v>
      </c>
      <c r="F6" s="122"/>
      <c r="G6" s="122"/>
      <c r="H6" s="122"/>
      <c r="I6" s="122"/>
      <c r="J6" s="122"/>
      <c r="K6" s="122"/>
      <c r="L6" s="122"/>
      <c r="M6" s="122"/>
      <c r="N6" s="122"/>
      <c r="O6" s="122"/>
      <c r="P6" s="122"/>
      <c r="Q6" s="122"/>
      <c r="R6" s="122"/>
      <c r="S6" s="122"/>
      <c r="T6" s="122"/>
      <c r="U6" s="122"/>
      <c r="V6" s="122"/>
      <c r="W6" s="122"/>
      <c r="X6" s="122"/>
      <c r="Y6" s="122"/>
      <c r="Z6" s="122"/>
      <c r="AA6" s="122"/>
      <c r="AB6" s="122"/>
      <c r="AC6" s="122"/>
      <c r="AD6" s="122"/>
      <c r="AE6" s="122"/>
      <c r="AF6" s="122"/>
      <c r="AG6" s="122"/>
      <c r="AH6" s="122"/>
      <c r="AI6" s="122"/>
      <c r="AJ6" s="122"/>
    </row>
    <row r="7" spans="1:36">
      <c r="A7" s="7">
        <v>52229895</v>
      </c>
      <c r="B7" s="7" t="s">
        <v>736</v>
      </c>
      <c r="C7" s="7" t="s">
        <v>737</v>
      </c>
      <c r="D7" s="7" t="s">
        <v>738</v>
      </c>
      <c r="E7" s="7"/>
      <c r="F7" s="122"/>
      <c r="G7" s="122"/>
      <c r="H7" s="122"/>
      <c r="I7" s="122"/>
      <c r="J7" s="122"/>
      <c r="K7" s="122"/>
      <c r="L7" s="122"/>
      <c r="M7" s="122"/>
      <c r="N7" s="122"/>
      <c r="O7" s="122"/>
      <c r="P7" s="122"/>
      <c r="Q7" s="122"/>
      <c r="R7" s="122"/>
      <c r="S7" s="122"/>
      <c r="T7" s="122"/>
      <c r="U7" s="122"/>
      <c r="V7" s="122"/>
      <c r="W7" s="122"/>
      <c r="X7" s="122"/>
      <c r="Y7" s="122"/>
      <c r="Z7" s="122"/>
      <c r="AA7" s="122"/>
      <c r="AB7" s="122"/>
      <c r="AC7" s="122"/>
      <c r="AD7" s="122"/>
      <c r="AE7" s="122"/>
      <c r="AF7" s="122"/>
      <c r="AG7" s="122"/>
      <c r="AH7" s="122"/>
      <c r="AI7" s="122"/>
      <c r="AJ7" s="122"/>
    </row>
    <row r="8" spans="1:36">
      <c r="A8" s="7">
        <v>53048504</v>
      </c>
      <c r="B8" s="7" t="s">
        <v>756</v>
      </c>
      <c r="C8" s="7" t="s">
        <v>35</v>
      </c>
      <c r="D8" s="7" t="s">
        <v>322</v>
      </c>
      <c r="E8" s="97"/>
      <c r="F8" s="122"/>
      <c r="G8" s="122"/>
      <c r="H8" s="122"/>
      <c r="I8" s="122"/>
      <c r="J8" s="122"/>
      <c r="K8" s="122"/>
      <c r="L8" s="122"/>
      <c r="M8" s="122"/>
      <c r="N8" s="122"/>
      <c r="O8" s="122"/>
      <c r="P8" s="122"/>
      <c r="Q8" s="122"/>
      <c r="R8" s="122"/>
      <c r="S8" s="122"/>
      <c r="T8" s="122"/>
      <c r="U8" s="122"/>
      <c r="V8" s="122"/>
      <c r="W8" s="122"/>
      <c r="X8" s="122"/>
      <c r="Y8" s="122"/>
      <c r="Z8" s="122"/>
      <c r="AA8" s="122"/>
      <c r="AB8" s="122"/>
      <c r="AC8" s="122"/>
      <c r="AD8" s="122"/>
      <c r="AE8" s="122"/>
      <c r="AF8" s="122"/>
      <c r="AG8" s="122"/>
      <c r="AH8" s="122"/>
      <c r="AI8" s="122"/>
      <c r="AJ8" s="122"/>
    </row>
  </sheetData>
  <mergeCells count="6">
    <mergeCell ref="F1:AJ1"/>
    <mergeCell ref="A1:A2"/>
    <mergeCell ref="B1:B2"/>
    <mergeCell ref="C1:C2"/>
    <mergeCell ref="D1:D2"/>
    <mergeCell ref="E1:E2"/>
  </mergeCells>
  <conditionalFormatting sqref="A1 A3">
    <cfRule type="duplicateValues" dxfId="25" priority="113"/>
  </conditionalFormatting>
  <conditionalFormatting sqref="A4">
    <cfRule type="duplicateValues" dxfId="24" priority="5"/>
    <cfRule type="duplicateValues" dxfId="23" priority="6"/>
    <cfRule type="duplicateValues" dxfId="22" priority="7"/>
  </conditionalFormatting>
  <conditionalFormatting sqref="A5">
    <cfRule type="duplicateValues" dxfId="21" priority="20"/>
    <cfRule type="duplicateValues" dxfId="20" priority="21"/>
    <cfRule type="duplicateValues" dxfId="19" priority="22"/>
  </conditionalFormatting>
  <conditionalFormatting sqref="A6">
    <cfRule type="duplicateValues" dxfId="18" priority="1"/>
    <cfRule type="duplicateValues" dxfId="17" priority="2"/>
    <cfRule type="duplicateValues" dxfId="16" priority="3"/>
    <cfRule type="duplicateValues" dxfId="15" priority="4"/>
  </conditionalFormatting>
  <conditionalFormatting sqref="A7">
    <cfRule type="duplicateValues" dxfId="14" priority="17"/>
    <cfRule type="duplicateValues" dxfId="13" priority="18"/>
    <cfRule type="duplicateValues" dxfId="12" priority="19"/>
  </conditionalFormatting>
  <conditionalFormatting sqref="A8">
    <cfRule type="duplicateValues" dxfId="11" priority="14"/>
    <cfRule type="duplicateValues" dxfId="10" priority="15"/>
    <cfRule type="duplicateValues" dxfId="9" priority="16"/>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R137"/>
  <sheetViews>
    <sheetView topLeftCell="C1" zoomScale="110" zoomScaleNormal="110" workbookViewId="0">
      <pane ySplit="1" topLeftCell="A120" activePane="bottomLeft" state="frozen"/>
      <selection activeCell="L5" sqref="L5"/>
      <selection pane="bottomLeft" activeCell="AK2" sqref="AK2:AK130"/>
    </sheetView>
  </sheetViews>
  <sheetFormatPr baseColWidth="10" defaultColWidth="11.375" defaultRowHeight="11.25"/>
  <cols>
    <col min="1" max="1" width="6.875" style="6" hidden="1" customWidth="1"/>
    <col min="2" max="2" width="19.75" style="6" hidden="1" customWidth="1"/>
    <col min="3" max="3" width="7" style="6" bestFit="1" customWidth="1"/>
    <col min="4" max="4" width="16.375" style="6" customWidth="1"/>
    <col min="5" max="5" width="14.125" style="1" customWidth="1"/>
    <col min="6" max="7" width="11.125" style="37" customWidth="1"/>
    <col min="8" max="8" width="11.375" style="37" customWidth="1"/>
    <col min="9" max="9" width="3.375" style="6" customWidth="1"/>
    <col min="10" max="10" width="13" style="6" hidden="1" customWidth="1"/>
    <col min="11" max="11" width="11.875" style="6" hidden="1" customWidth="1"/>
    <col min="12" max="14" width="11.375" style="6" hidden="1" customWidth="1"/>
    <col min="15" max="20" width="14.625" style="6" hidden="1" customWidth="1"/>
    <col min="21" max="22" width="12.75" style="6" hidden="1" customWidth="1"/>
    <col min="23" max="23" width="11.375" style="6" hidden="1" customWidth="1"/>
    <col min="24" max="25" width="14.625" style="6" hidden="1" customWidth="1"/>
    <col min="26" max="27" width="11.375" style="6" hidden="1" customWidth="1"/>
    <col min="28" max="28" width="12.375" style="6" hidden="1" customWidth="1"/>
    <col min="29" max="35" width="11.375" style="6" hidden="1" customWidth="1"/>
    <col min="36" max="36" width="3" style="6" customWidth="1"/>
    <col min="37" max="37" width="13.625" style="6" customWidth="1"/>
    <col min="38" max="47" width="11.625" style="6" customWidth="1"/>
    <col min="48" max="48" width="12.75" style="6" customWidth="1"/>
    <col min="49" max="60" width="11.625" style="6" customWidth="1"/>
    <col min="61" max="61" width="12" style="6" customWidth="1"/>
    <col min="62" max="64" width="11.375" style="38" customWidth="1"/>
    <col min="65" max="65" width="12" style="6" customWidth="1"/>
    <col min="66" max="66" width="12.25" style="6" hidden="1" customWidth="1"/>
    <col min="67" max="67" width="11.375" style="6" customWidth="1"/>
    <col min="68" max="16384" width="11.375" style="6"/>
  </cols>
  <sheetData>
    <row r="1" spans="1:66" ht="67.5">
      <c r="A1" s="9" t="s">
        <v>441</v>
      </c>
      <c r="B1" s="9" t="s">
        <v>442</v>
      </c>
      <c r="C1" s="9" t="s">
        <v>438</v>
      </c>
      <c r="D1" s="9" t="s">
        <v>439</v>
      </c>
      <c r="E1" s="10" t="s">
        <v>435</v>
      </c>
      <c r="F1" s="11" t="s">
        <v>436</v>
      </c>
      <c r="G1" s="11" t="s">
        <v>437</v>
      </c>
      <c r="H1" s="12" t="s">
        <v>440</v>
      </c>
      <c r="J1" s="80" t="s">
        <v>680</v>
      </c>
      <c r="K1" s="103" t="s">
        <v>653</v>
      </c>
      <c r="L1" s="103" t="s">
        <v>654</v>
      </c>
      <c r="M1" s="103" t="s">
        <v>655</v>
      </c>
      <c r="N1" s="103" t="s">
        <v>656</v>
      </c>
      <c r="O1" s="103" t="s">
        <v>657</v>
      </c>
      <c r="P1" s="103" t="s">
        <v>658</v>
      </c>
      <c r="Q1" s="103" t="s">
        <v>659</v>
      </c>
      <c r="R1" s="103" t="s">
        <v>660</v>
      </c>
      <c r="S1" s="103" t="s">
        <v>661</v>
      </c>
      <c r="T1" s="103" t="s">
        <v>662</v>
      </c>
      <c r="U1" s="103" t="s">
        <v>663</v>
      </c>
      <c r="V1" s="103" t="s">
        <v>664</v>
      </c>
      <c r="W1" s="103" t="s">
        <v>665</v>
      </c>
      <c r="X1" s="103" t="s">
        <v>666</v>
      </c>
      <c r="Y1" s="103" t="s">
        <v>667</v>
      </c>
      <c r="Z1" s="103" t="s">
        <v>668</v>
      </c>
      <c r="AA1" s="13" t="s">
        <v>669</v>
      </c>
      <c r="AB1" s="103" t="s">
        <v>670</v>
      </c>
      <c r="AC1" s="103" t="s">
        <v>671</v>
      </c>
      <c r="AD1" s="103" t="s">
        <v>672</v>
      </c>
      <c r="AE1" s="103" t="s">
        <v>673</v>
      </c>
      <c r="AF1" s="103" t="s">
        <v>674</v>
      </c>
      <c r="AG1" s="103" t="s">
        <v>675</v>
      </c>
      <c r="AH1" s="103" t="s">
        <v>676</v>
      </c>
      <c r="AI1" s="103" t="s">
        <v>677</v>
      </c>
      <c r="AK1" s="14" t="s">
        <v>653</v>
      </c>
      <c r="AL1" s="14" t="s">
        <v>654</v>
      </c>
      <c r="AM1" s="14" t="s">
        <v>655</v>
      </c>
      <c r="AN1" s="14" t="s">
        <v>656</v>
      </c>
      <c r="AO1" s="14" t="s">
        <v>657</v>
      </c>
      <c r="AP1" s="14" t="s">
        <v>658</v>
      </c>
      <c r="AQ1" s="14" t="s">
        <v>659</v>
      </c>
      <c r="AR1" s="14" t="s">
        <v>660</v>
      </c>
      <c r="AS1" s="14" t="s">
        <v>661</v>
      </c>
      <c r="AT1" s="14" t="s">
        <v>662</v>
      </c>
      <c r="AU1" s="14" t="s">
        <v>663</v>
      </c>
      <c r="AV1" s="14" t="s">
        <v>664</v>
      </c>
      <c r="AW1" s="14" t="s">
        <v>665</v>
      </c>
      <c r="AX1" s="14" t="s">
        <v>666</v>
      </c>
      <c r="AY1" s="14" t="s">
        <v>667</v>
      </c>
      <c r="AZ1" s="14" t="s">
        <v>668</v>
      </c>
      <c r="BA1" s="14" t="s">
        <v>669</v>
      </c>
      <c r="BB1" s="14" t="s">
        <v>670</v>
      </c>
      <c r="BC1" s="14" t="s">
        <v>671</v>
      </c>
      <c r="BD1" s="14" t="s">
        <v>672</v>
      </c>
      <c r="BE1" s="14" t="s">
        <v>673</v>
      </c>
      <c r="BF1" s="14" t="s">
        <v>674</v>
      </c>
      <c r="BG1" s="14" t="s">
        <v>675</v>
      </c>
      <c r="BH1" s="14" t="s">
        <v>676</v>
      </c>
      <c r="BI1" s="14" t="s">
        <v>677</v>
      </c>
      <c r="BJ1" s="15" t="s">
        <v>441</v>
      </c>
      <c r="BK1" s="15" t="s">
        <v>441</v>
      </c>
      <c r="BL1" s="15" t="s">
        <v>442</v>
      </c>
      <c r="BM1" s="16"/>
    </row>
    <row r="2" spans="1:66" ht="45">
      <c r="A2" s="8" t="s">
        <v>443</v>
      </c>
      <c r="B2" s="17" t="s">
        <v>444</v>
      </c>
      <c r="C2" s="60">
        <v>1</v>
      </c>
      <c r="D2" s="18" t="s">
        <v>445</v>
      </c>
      <c r="E2" s="39">
        <v>7862.55</v>
      </c>
      <c r="F2" s="19">
        <f t="shared" ref="F2:F33" si="0">+E2*10%</f>
        <v>786.25500000000011</v>
      </c>
      <c r="G2" s="19">
        <f t="shared" ref="G2:G33" si="1">+F2*19%</f>
        <v>149.38845000000003</v>
      </c>
      <c r="H2" s="19">
        <f t="shared" ref="H2:H33" si="2">+E2+F2+G2</f>
        <v>8798.1934500000007</v>
      </c>
      <c r="J2" s="8">
        <f t="shared" ref="J2:J65" si="3">SUM(K2:AI2)</f>
        <v>71</v>
      </c>
      <c r="K2" s="8">
        <v>45</v>
      </c>
      <c r="L2" s="8">
        <v>1</v>
      </c>
      <c r="M2" s="8">
        <v>1</v>
      </c>
      <c r="N2" s="8"/>
      <c r="O2" s="8">
        <v>1</v>
      </c>
      <c r="P2" s="8"/>
      <c r="Q2" s="8">
        <v>3</v>
      </c>
      <c r="R2" s="8"/>
      <c r="S2" s="8">
        <v>2</v>
      </c>
      <c r="T2" s="8">
        <v>3</v>
      </c>
      <c r="U2" s="8">
        <v>3</v>
      </c>
      <c r="V2" s="8"/>
      <c r="W2" s="8"/>
      <c r="X2" s="8"/>
      <c r="Y2" s="8"/>
      <c r="Z2" s="8">
        <v>2</v>
      </c>
      <c r="AA2" s="8">
        <v>3</v>
      </c>
      <c r="AB2" s="8">
        <v>4</v>
      </c>
      <c r="AC2" s="8"/>
      <c r="AD2" s="8"/>
      <c r="AE2" s="8"/>
      <c r="AF2" s="8"/>
      <c r="AG2" s="8">
        <v>3</v>
      </c>
      <c r="AH2" s="8"/>
      <c r="AI2" s="8"/>
      <c r="AK2" s="20">
        <f>+ROUND(K2*$H2,0)</f>
        <v>395919</v>
      </c>
      <c r="AL2" s="20">
        <f t="shared" ref="AL2:BI2" si="4">+ROUND(L2*$H2,0)</f>
        <v>8798</v>
      </c>
      <c r="AM2" s="20">
        <f t="shared" si="4"/>
        <v>8798</v>
      </c>
      <c r="AN2" s="20">
        <f t="shared" si="4"/>
        <v>0</v>
      </c>
      <c r="AO2" s="20">
        <f t="shared" si="4"/>
        <v>8798</v>
      </c>
      <c r="AP2" s="20">
        <f t="shared" si="4"/>
        <v>0</v>
      </c>
      <c r="AQ2" s="20">
        <f t="shared" si="4"/>
        <v>26395</v>
      </c>
      <c r="AR2" s="20">
        <f t="shared" si="4"/>
        <v>0</v>
      </c>
      <c r="AS2" s="20">
        <f t="shared" si="4"/>
        <v>17596</v>
      </c>
      <c r="AT2" s="20">
        <f t="shared" si="4"/>
        <v>26395</v>
      </c>
      <c r="AU2" s="20">
        <f t="shared" si="4"/>
        <v>26395</v>
      </c>
      <c r="AV2" s="20">
        <f t="shared" si="4"/>
        <v>0</v>
      </c>
      <c r="AW2" s="20">
        <f t="shared" si="4"/>
        <v>0</v>
      </c>
      <c r="AX2" s="20">
        <f t="shared" si="4"/>
        <v>0</v>
      </c>
      <c r="AY2" s="20">
        <f t="shared" si="4"/>
        <v>0</v>
      </c>
      <c r="AZ2" s="20">
        <f t="shared" si="4"/>
        <v>17596</v>
      </c>
      <c r="BA2" s="20">
        <f t="shared" si="4"/>
        <v>26395</v>
      </c>
      <c r="BB2" s="20">
        <f t="shared" si="4"/>
        <v>35193</v>
      </c>
      <c r="BC2" s="20">
        <f t="shared" si="4"/>
        <v>0</v>
      </c>
      <c r="BD2" s="20">
        <f t="shared" si="4"/>
        <v>0</v>
      </c>
      <c r="BE2" s="20">
        <f t="shared" si="4"/>
        <v>0</v>
      </c>
      <c r="BF2" s="20">
        <f t="shared" si="4"/>
        <v>0</v>
      </c>
      <c r="BG2" s="20">
        <f t="shared" si="4"/>
        <v>26395</v>
      </c>
      <c r="BH2" s="20">
        <f t="shared" si="4"/>
        <v>0</v>
      </c>
      <c r="BI2" s="20">
        <f t="shared" si="4"/>
        <v>0</v>
      </c>
      <c r="BJ2" s="17" t="s">
        <v>899</v>
      </c>
      <c r="BK2" s="17" t="s">
        <v>443</v>
      </c>
      <c r="BL2" s="17" t="s">
        <v>444</v>
      </c>
      <c r="BM2" s="41">
        <f>+SUM(AK2:BI2)</f>
        <v>624673</v>
      </c>
      <c r="BN2" s="37">
        <f t="shared" ref="BN2:BN33" si="5">+ROUND((E2*J2),0)</f>
        <v>558241</v>
      </c>
    </row>
    <row r="3" spans="1:66" ht="45">
      <c r="A3" s="8" t="s">
        <v>446</v>
      </c>
      <c r="B3" s="21" t="s">
        <v>447</v>
      </c>
      <c r="C3" s="60">
        <v>5</v>
      </c>
      <c r="D3" s="18" t="s">
        <v>448</v>
      </c>
      <c r="E3" s="39">
        <v>1569.24</v>
      </c>
      <c r="F3" s="19">
        <f t="shared" si="0"/>
        <v>156.92400000000001</v>
      </c>
      <c r="G3" s="19">
        <f t="shared" si="1"/>
        <v>29.815560000000001</v>
      </c>
      <c r="H3" s="19">
        <f t="shared" si="2"/>
        <v>1755.97956</v>
      </c>
      <c r="J3" s="8">
        <f t="shared" si="3"/>
        <v>41</v>
      </c>
      <c r="K3" s="8">
        <v>10</v>
      </c>
      <c r="L3" s="8">
        <v>1</v>
      </c>
      <c r="M3" s="8">
        <v>1</v>
      </c>
      <c r="N3" s="8"/>
      <c r="O3" s="8">
        <v>1</v>
      </c>
      <c r="P3" s="8">
        <v>3</v>
      </c>
      <c r="Q3" s="8">
        <v>3</v>
      </c>
      <c r="R3" s="8"/>
      <c r="S3" s="8">
        <v>3</v>
      </c>
      <c r="T3" s="8">
        <v>3</v>
      </c>
      <c r="U3" s="8">
        <v>2</v>
      </c>
      <c r="V3" s="8"/>
      <c r="W3" s="8">
        <v>3</v>
      </c>
      <c r="X3" s="8"/>
      <c r="Y3" s="8"/>
      <c r="Z3" s="8"/>
      <c r="AA3" s="8">
        <v>3</v>
      </c>
      <c r="AB3" s="8"/>
      <c r="AC3" s="8"/>
      <c r="AD3" s="8">
        <v>2</v>
      </c>
      <c r="AE3" s="8"/>
      <c r="AF3" s="8"/>
      <c r="AG3" s="8">
        <v>3</v>
      </c>
      <c r="AH3" s="8"/>
      <c r="AI3" s="8">
        <v>3</v>
      </c>
      <c r="AK3" s="20">
        <f t="shared" ref="AK3:AK66" si="6">+ROUND(K3*$H3,0)</f>
        <v>17560</v>
      </c>
      <c r="AL3" s="20">
        <f t="shared" ref="AL3:AL66" si="7">+ROUND(L3*$H3,0)</f>
        <v>1756</v>
      </c>
      <c r="AM3" s="20">
        <f t="shared" ref="AM3:AM66" si="8">+ROUND(M3*$H3,0)</f>
        <v>1756</v>
      </c>
      <c r="AN3" s="20">
        <f t="shared" ref="AN3:AN66" si="9">+ROUND(N3*$H3,0)</f>
        <v>0</v>
      </c>
      <c r="AO3" s="20">
        <f t="shared" ref="AO3:AO66" si="10">+ROUND(O3*$H3,0)</f>
        <v>1756</v>
      </c>
      <c r="AP3" s="20">
        <f t="shared" ref="AP3:AP66" si="11">+ROUND(P3*$H3,0)</f>
        <v>5268</v>
      </c>
      <c r="AQ3" s="20">
        <f t="shared" ref="AQ3:AQ66" si="12">+ROUND(Q3*$H3,0)</f>
        <v>5268</v>
      </c>
      <c r="AR3" s="20">
        <f t="shared" ref="AR3:AR66" si="13">+ROUND(R3*$H3,0)</f>
        <v>0</v>
      </c>
      <c r="AS3" s="20">
        <f t="shared" ref="AS3:AS66" si="14">+ROUND(S3*$H3,0)</f>
        <v>5268</v>
      </c>
      <c r="AT3" s="20">
        <f t="shared" ref="AT3:AT66" si="15">+ROUND(T3*$H3,0)</f>
        <v>5268</v>
      </c>
      <c r="AU3" s="20">
        <f t="shared" ref="AU3:AU66" si="16">+ROUND(U3*$H3,0)</f>
        <v>3512</v>
      </c>
      <c r="AV3" s="20">
        <f t="shared" ref="AV3:AV66" si="17">+ROUND(V3*$H3,0)</f>
        <v>0</v>
      </c>
      <c r="AW3" s="20">
        <f t="shared" ref="AW3:AW66" si="18">+ROUND(W3*$H3,0)</f>
        <v>5268</v>
      </c>
      <c r="AX3" s="20">
        <f t="shared" ref="AX3:AX66" si="19">+ROUND(X3*$H3,0)</f>
        <v>0</v>
      </c>
      <c r="AY3" s="20">
        <f t="shared" ref="AY3:AY66" si="20">+ROUND(Y3*$H3,0)</f>
        <v>0</v>
      </c>
      <c r="AZ3" s="20">
        <f t="shared" ref="AZ3:AZ66" si="21">+ROUND(Z3*$H3,0)</f>
        <v>0</v>
      </c>
      <c r="BA3" s="20">
        <f t="shared" ref="BA3:BA66" si="22">+ROUND(AA3*$H3,0)</f>
        <v>5268</v>
      </c>
      <c r="BB3" s="20">
        <f t="shared" ref="BB3:BB66" si="23">+ROUND(AB3*$H3,0)</f>
        <v>0</v>
      </c>
      <c r="BC3" s="20">
        <f t="shared" ref="BC3:BC66" si="24">+ROUND(AC3*$H3,0)</f>
        <v>0</v>
      </c>
      <c r="BD3" s="20">
        <f t="shared" ref="BD3:BD66" si="25">+ROUND(AD3*$H3,0)</f>
        <v>3512</v>
      </c>
      <c r="BE3" s="20">
        <f t="shared" ref="BE3:BE66" si="26">+ROUND(AE3*$H3,0)</f>
        <v>0</v>
      </c>
      <c r="BF3" s="20">
        <f t="shared" ref="BF3:BF66" si="27">+ROUND(AF3*$H3,0)</f>
        <v>0</v>
      </c>
      <c r="BG3" s="20">
        <f t="shared" ref="BG3:BG66" si="28">+ROUND(AG3*$H3,0)</f>
        <v>5268</v>
      </c>
      <c r="BH3" s="20">
        <f t="shared" ref="BH3:BH66" si="29">+ROUND(AH3*$H3,0)</f>
        <v>0</v>
      </c>
      <c r="BI3" s="20">
        <f t="shared" ref="BI3:BI66" si="30">+ROUND(AI3*$H3,0)</f>
        <v>5268</v>
      </c>
      <c r="BJ3" s="21" t="s">
        <v>900</v>
      </c>
      <c r="BK3" s="17" t="s">
        <v>446</v>
      </c>
      <c r="BL3" s="21" t="s">
        <v>447</v>
      </c>
      <c r="BM3" s="41">
        <f t="shared" ref="BM3:BM66" si="31">+SUM(AK3:BI3)</f>
        <v>71996</v>
      </c>
      <c r="BN3" s="37">
        <f t="shared" si="5"/>
        <v>64339</v>
      </c>
    </row>
    <row r="4" spans="1:66" ht="45">
      <c r="A4" s="8" t="s">
        <v>449</v>
      </c>
      <c r="B4" s="21" t="s">
        <v>450</v>
      </c>
      <c r="C4" s="60">
        <v>7</v>
      </c>
      <c r="D4" s="18" t="s">
        <v>451</v>
      </c>
      <c r="E4" s="39">
        <v>2142.63</v>
      </c>
      <c r="F4" s="19">
        <f t="shared" si="0"/>
        <v>214.26300000000003</v>
      </c>
      <c r="G4" s="19">
        <f t="shared" si="1"/>
        <v>40.709970000000006</v>
      </c>
      <c r="H4" s="19">
        <f t="shared" si="2"/>
        <v>2397.6029699999999</v>
      </c>
      <c r="J4" s="8">
        <f t="shared" si="3"/>
        <v>17</v>
      </c>
      <c r="K4" s="8">
        <v>5</v>
      </c>
      <c r="L4" s="8">
        <v>1</v>
      </c>
      <c r="M4" s="8"/>
      <c r="N4" s="8"/>
      <c r="O4" s="8"/>
      <c r="P4" s="8"/>
      <c r="Q4" s="8"/>
      <c r="R4" s="8"/>
      <c r="S4" s="8"/>
      <c r="T4" s="8">
        <v>3</v>
      </c>
      <c r="U4" s="8"/>
      <c r="V4" s="8">
        <v>3</v>
      </c>
      <c r="W4" s="8">
        <v>2</v>
      </c>
      <c r="X4" s="8"/>
      <c r="Y4" s="8"/>
      <c r="Z4" s="8"/>
      <c r="AA4" s="8">
        <v>3</v>
      </c>
      <c r="AB4" s="8"/>
      <c r="AC4" s="8"/>
      <c r="AD4" s="8"/>
      <c r="AE4" s="8"/>
      <c r="AF4" s="8"/>
      <c r="AG4" s="8"/>
      <c r="AH4" s="8"/>
      <c r="AI4" s="8"/>
      <c r="AK4" s="20">
        <f t="shared" si="6"/>
        <v>11988</v>
      </c>
      <c r="AL4" s="20">
        <f t="shared" si="7"/>
        <v>2398</v>
      </c>
      <c r="AM4" s="20">
        <f t="shared" si="8"/>
        <v>0</v>
      </c>
      <c r="AN4" s="20">
        <f t="shared" si="9"/>
        <v>0</v>
      </c>
      <c r="AO4" s="20">
        <f t="shared" si="10"/>
        <v>0</v>
      </c>
      <c r="AP4" s="20">
        <f t="shared" si="11"/>
        <v>0</v>
      </c>
      <c r="AQ4" s="20">
        <f t="shared" si="12"/>
        <v>0</v>
      </c>
      <c r="AR4" s="20">
        <f t="shared" si="13"/>
        <v>0</v>
      </c>
      <c r="AS4" s="20">
        <f t="shared" si="14"/>
        <v>0</v>
      </c>
      <c r="AT4" s="20">
        <f t="shared" si="15"/>
        <v>7193</v>
      </c>
      <c r="AU4" s="20">
        <f t="shared" si="16"/>
        <v>0</v>
      </c>
      <c r="AV4" s="20">
        <f t="shared" si="17"/>
        <v>7193</v>
      </c>
      <c r="AW4" s="20">
        <f t="shared" si="18"/>
        <v>4795</v>
      </c>
      <c r="AX4" s="20">
        <f t="shared" si="19"/>
        <v>0</v>
      </c>
      <c r="AY4" s="20">
        <f t="shared" si="20"/>
        <v>0</v>
      </c>
      <c r="AZ4" s="20">
        <f t="shared" si="21"/>
        <v>0</v>
      </c>
      <c r="BA4" s="20">
        <f t="shared" si="22"/>
        <v>7193</v>
      </c>
      <c r="BB4" s="20">
        <f t="shared" si="23"/>
        <v>0</v>
      </c>
      <c r="BC4" s="20">
        <f t="shared" si="24"/>
        <v>0</v>
      </c>
      <c r="BD4" s="20">
        <f t="shared" si="25"/>
        <v>0</v>
      </c>
      <c r="BE4" s="20">
        <f t="shared" si="26"/>
        <v>0</v>
      </c>
      <c r="BF4" s="20">
        <f t="shared" si="27"/>
        <v>0</v>
      </c>
      <c r="BG4" s="20">
        <f t="shared" si="28"/>
        <v>0</v>
      </c>
      <c r="BH4" s="20">
        <f t="shared" si="29"/>
        <v>0</v>
      </c>
      <c r="BI4" s="20">
        <f t="shared" si="30"/>
        <v>0</v>
      </c>
      <c r="BJ4" s="21" t="s">
        <v>901</v>
      </c>
      <c r="BK4" s="17" t="s">
        <v>449</v>
      </c>
      <c r="BL4" s="21" t="s">
        <v>450</v>
      </c>
      <c r="BM4" s="41">
        <f t="shared" si="31"/>
        <v>40760</v>
      </c>
      <c r="BN4" s="37">
        <f t="shared" si="5"/>
        <v>36425</v>
      </c>
    </row>
    <row r="5" spans="1:66" ht="45">
      <c r="A5" s="8" t="s">
        <v>452</v>
      </c>
      <c r="B5" s="17" t="s">
        <v>453</v>
      </c>
      <c r="C5" s="60">
        <v>11</v>
      </c>
      <c r="D5" s="18" t="s">
        <v>454</v>
      </c>
      <c r="E5" s="39">
        <v>1251.04</v>
      </c>
      <c r="F5" s="19">
        <f t="shared" si="0"/>
        <v>125.104</v>
      </c>
      <c r="G5" s="19">
        <f t="shared" si="1"/>
        <v>23.769760000000002</v>
      </c>
      <c r="H5" s="19">
        <f t="shared" si="2"/>
        <v>1399.9137599999999</v>
      </c>
      <c r="J5" s="8">
        <f t="shared" si="3"/>
        <v>71</v>
      </c>
      <c r="K5" s="8">
        <v>50</v>
      </c>
      <c r="L5" s="8">
        <v>3</v>
      </c>
      <c r="M5" s="8">
        <v>1</v>
      </c>
      <c r="N5" s="8"/>
      <c r="O5" s="8"/>
      <c r="P5" s="8"/>
      <c r="Q5" s="8">
        <v>3</v>
      </c>
      <c r="R5" s="8"/>
      <c r="S5" s="8">
        <v>3</v>
      </c>
      <c r="T5" s="8">
        <v>3</v>
      </c>
      <c r="U5" s="8">
        <v>3</v>
      </c>
      <c r="V5" s="8"/>
      <c r="W5" s="8"/>
      <c r="X5" s="8"/>
      <c r="Y5" s="8"/>
      <c r="Z5" s="8"/>
      <c r="AA5" s="8">
        <v>3</v>
      </c>
      <c r="AB5" s="8"/>
      <c r="AC5" s="8"/>
      <c r="AD5" s="8"/>
      <c r="AE5" s="8"/>
      <c r="AF5" s="8"/>
      <c r="AG5" s="8">
        <v>2</v>
      </c>
      <c r="AH5" s="8"/>
      <c r="AI5" s="8"/>
      <c r="AK5" s="20">
        <f t="shared" si="6"/>
        <v>69996</v>
      </c>
      <c r="AL5" s="20">
        <f t="shared" si="7"/>
        <v>4200</v>
      </c>
      <c r="AM5" s="20">
        <f t="shared" si="8"/>
        <v>1400</v>
      </c>
      <c r="AN5" s="20">
        <f t="shared" si="9"/>
        <v>0</v>
      </c>
      <c r="AO5" s="20">
        <f t="shared" si="10"/>
        <v>0</v>
      </c>
      <c r="AP5" s="20">
        <f t="shared" si="11"/>
        <v>0</v>
      </c>
      <c r="AQ5" s="20">
        <f t="shared" si="12"/>
        <v>4200</v>
      </c>
      <c r="AR5" s="20">
        <f t="shared" si="13"/>
        <v>0</v>
      </c>
      <c r="AS5" s="20">
        <f t="shared" si="14"/>
        <v>4200</v>
      </c>
      <c r="AT5" s="20">
        <f t="shared" si="15"/>
        <v>4200</v>
      </c>
      <c r="AU5" s="20">
        <f t="shared" si="16"/>
        <v>4200</v>
      </c>
      <c r="AV5" s="20">
        <f t="shared" si="17"/>
        <v>0</v>
      </c>
      <c r="AW5" s="20">
        <f t="shared" si="18"/>
        <v>0</v>
      </c>
      <c r="AX5" s="20">
        <f t="shared" si="19"/>
        <v>0</v>
      </c>
      <c r="AY5" s="20">
        <f t="shared" si="20"/>
        <v>0</v>
      </c>
      <c r="AZ5" s="20">
        <f t="shared" si="21"/>
        <v>0</v>
      </c>
      <c r="BA5" s="20">
        <f t="shared" si="22"/>
        <v>4200</v>
      </c>
      <c r="BB5" s="20">
        <f t="shared" si="23"/>
        <v>0</v>
      </c>
      <c r="BC5" s="20">
        <f t="shared" si="24"/>
        <v>0</v>
      </c>
      <c r="BD5" s="20">
        <f t="shared" si="25"/>
        <v>0</v>
      </c>
      <c r="BE5" s="20">
        <f t="shared" si="26"/>
        <v>0</v>
      </c>
      <c r="BF5" s="20">
        <f t="shared" si="27"/>
        <v>0</v>
      </c>
      <c r="BG5" s="20">
        <f t="shared" si="28"/>
        <v>2800</v>
      </c>
      <c r="BH5" s="20">
        <f t="shared" si="29"/>
        <v>0</v>
      </c>
      <c r="BI5" s="20">
        <f t="shared" si="30"/>
        <v>0</v>
      </c>
      <c r="BJ5" s="17" t="s">
        <v>902</v>
      </c>
      <c r="BK5" s="17" t="s">
        <v>452</v>
      </c>
      <c r="BL5" s="17" t="s">
        <v>453</v>
      </c>
      <c r="BM5" s="41">
        <f t="shared" si="31"/>
        <v>99396</v>
      </c>
      <c r="BN5" s="37">
        <f t="shared" si="5"/>
        <v>88824</v>
      </c>
    </row>
    <row r="6" spans="1:66" ht="33.75">
      <c r="A6" s="8" t="s">
        <v>455</v>
      </c>
      <c r="B6" s="22" t="s">
        <v>456</v>
      </c>
      <c r="C6" s="60">
        <v>15</v>
      </c>
      <c r="D6" s="18" t="s">
        <v>457</v>
      </c>
      <c r="E6" s="39">
        <v>4566.13</v>
      </c>
      <c r="F6" s="19">
        <f t="shared" si="0"/>
        <v>456.61300000000006</v>
      </c>
      <c r="G6" s="19">
        <f t="shared" si="1"/>
        <v>86.756470000000007</v>
      </c>
      <c r="H6" s="19">
        <f t="shared" si="2"/>
        <v>5109.4994700000007</v>
      </c>
      <c r="J6" s="8">
        <f t="shared" si="3"/>
        <v>42</v>
      </c>
      <c r="K6" s="8">
        <v>18</v>
      </c>
      <c r="L6" s="8"/>
      <c r="M6" s="8">
        <v>1</v>
      </c>
      <c r="N6" s="8"/>
      <c r="O6" s="8"/>
      <c r="P6" s="8"/>
      <c r="Q6" s="8"/>
      <c r="R6" s="8"/>
      <c r="S6" s="8"/>
      <c r="T6" s="8"/>
      <c r="U6" s="8">
        <v>8</v>
      </c>
      <c r="V6" s="8"/>
      <c r="W6" s="8">
        <v>4</v>
      </c>
      <c r="X6" s="8"/>
      <c r="Y6" s="8">
        <v>3</v>
      </c>
      <c r="Z6" s="8"/>
      <c r="AA6" s="8">
        <v>4</v>
      </c>
      <c r="AB6" s="8">
        <v>2</v>
      </c>
      <c r="AC6" s="8"/>
      <c r="AD6" s="8"/>
      <c r="AE6" s="8"/>
      <c r="AF6" s="8"/>
      <c r="AG6" s="8">
        <v>2</v>
      </c>
      <c r="AH6" s="8"/>
      <c r="AI6" s="8"/>
      <c r="AK6" s="20">
        <f t="shared" si="6"/>
        <v>91971</v>
      </c>
      <c r="AL6" s="20">
        <f t="shared" si="7"/>
        <v>0</v>
      </c>
      <c r="AM6" s="20">
        <f t="shared" si="8"/>
        <v>5109</v>
      </c>
      <c r="AN6" s="20">
        <f t="shared" si="9"/>
        <v>0</v>
      </c>
      <c r="AO6" s="20">
        <f t="shared" si="10"/>
        <v>0</v>
      </c>
      <c r="AP6" s="20">
        <f t="shared" si="11"/>
        <v>0</v>
      </c>
      <c r="AQ6" s="20">
        <f t="shared" si="12"/>
        <v>0</v>
      </c>
      <c r="AR6" s="20">
        <f t="shared" si="13"/>
        <v>0</v>
      </c>
      <c r="AS6" s="20">
        <f t="shared" si="14"/>
        <v>0</v>
      </c>
      <c r="AT6" s="20">
        <f t="shared" si="15"/>
        <v>0</v>
      </c>
      <c r="AU6" s="20">
        <f t="shared" si="16"/>
        <v>40876</v>
      </c>
      <c r="AV6" s="20">
        <f t="shared" si="17"/>
        <v>0</v>
      </c>
      <c r="AW6" s="20">
        <f t="shared" si="18"/>
        <v>20438</v>
      </c>
      <c r="AX6" s="20">
        <f t="shared" si="19"/>
        <v>0</v>
      </c>
      <c r="AY6" s="20">
        <f t="shared" si="20"/>
        <v>15328</v>
      </c>
      <c r="AZ6" s="20">
        <f t="shared" si="21"/>
        <v>0</v>
      </c>
      <c r="BA6" s="20">
        <f t="shared" si="22"/>
        <v>20438</v>
      </c>
      <c r="BB6" s="20">
        <f t="shared" si="23"/>
        <v>10219</v>
      </c>
      <c r="BC6" s="20">
        <f t="shared" si="24"/>
        <v>0</v>
      </c>
      <c r="BD6" s="20">
        <f t="shared" si="25"/>
        <v>0</v>
      </c>
      <c r="BE6" s="20">
        <f t="shared" si="26"/>
        <v>0</v>
      </c>
      <c r="BF6" s="20">
        <f t="shared" si="27"/>
        <v>0</v>
      </c>
      <c r="BG6" s="20">
        <f t="shared" si="28"/>
        <v>10219</v>
      </c>
      <c r="BH6" s="20">
        <f t="shared" si="29"/>
        <v>0</v>
      </c>
      <c r="BI6" s="20">
        <f t="shared" si="30"/>
        <v>0</v>
      </c>
      <c r="BJ6" s="23" t="s">
        <v>903</v>
      </c>
      <c r="BK6" s="17" t="s">
        <v>455</v>
      </c>
      <c r="BL6" s="23" t="s">
        <v>456</v>
      </c>
      <c r="BM6" s="41">
        <f t="shared" si="31"/>
        <v>214598</v>
      </c>
      <c r="BN6" s="37">
        <f t="shared" si="5"/>
        <v>191777</v>
      </c>
    </row>
    <row r="7" spans="1:66" ht="33.75">
      <c r="A7" s="8" t="s">
        <v>458</v>
      </c>
      <c r="B7" s="8" t="s">
        <v>459</v>
      </c>
      <c r="C7" s="60">
        <v>19</v>
      </c>
      <c r="D7" s="18" t="s">
        <v>460</v>
      </c>
      <c r="E7" s="39">
        <v>5828.06</v>
      </c>
      <c r="F7" s="19">
        <f t="shared" si="0"/>
        <v>582.80600000000004</v>
      </c>
      <c r="G7" s="19">
        <f t="shared" si="1"/>
        <v>110.73314000000001</v>
      </c>
      <c r="H7" s="19">
        <f t="shared" si="2"/>
        <v>6521.5991400000003</v>
      </c>
      <c r="J7" s="8">
        <f t="shared" si="3"/>
        <v>60</v>
      </c>
      <c r="K7" s="8">
        <v>45</v>
      </c>
      <c r="L7" s="8">
        <v>1</v>
      </c>
      <c r="M7" s="8">
        <v>1</v>
      </c>
      <c r="N7" s="8"/>
      <c r="O7" s="8"/>
      <c r="P7" s="8"/>
      <c r="Q7" s="8"/>
      <c r="R7" s="8"/>
      <c r="S7" s="8">
        <v>3</v>
      </c>
      <c r="T7" s="8"/>
      <c r="U7" s="8"/>
      <c r="V7" s="8"/>
      <c r="W7" s="8"/>
      <c r="X7" s="8"/>
      <c r="Y7" s="8"/>
      <c r="Z7" s="8">
        <v>3</v>
      </c>
      <c r="AA7" s="8">
        <v>3</v>
      </c>
      <c r="AB7" s="8">
        <v>4</v>
      </c>
      <c r="AC7" s="8"/>
      <c r="AD7" s="8"/>
      <c r="AE7" s="8"/>
      <c r="AF7" s="8"/>
      <c r="AG7" s="8"/>
      <c r="AH7" s="8"/>
      <c r="AI7" s="8"/>
      <c r="AK7" s="20">
        <f t="shared" si="6"/>
        <v>293472</v>
      </c>
      <c r="AL7" s="20">
        <f t="shared" si="7"/>
        <v>6522</v>
      </c>
      <c r="AM7" s="20">
        <f t="shared" si="8"/>
        <v>6522</v>
      </c>
      <c r="AN7" s="20">
        <f t="shared" si="9"/>
        <v>0</v>
      </c>
      <c r="AO7" s="20">
        <f t="shared" si="10"/>
        <v>0</v>
      </c>
      <c r="AP7" s="20">
        <f t="shared" si="11"/>
        <v>0</v>
      </c>
      <c r="AQ7" s="20">
        <f t="shared" si="12"/>
        <v>0</v>
      </c>
      <c r="AR7" s="20">
        <f t="shared" si="13"/>
        <v>0</v>
      </c>
      <c r="AS7" s="20">
        <f t="shared" si="14"/>
        <v>19565</v>
      </c>
      <c r="AT7" s="20">
        <f t="shared" si="15"/>
        <v>0</v>
      </c>
      <c r="AU7" s="20">
        <f t="shared" si="16"/>
        <v>0</v>
      </c>
      <c r="AV7" s="20">
        <f t="shared" si="17"/>
        <v>0</v>
      </c>
      <c r="AW7" s="20">
        <f t="shared" si="18"/>
        <v>0</v>
      </c>
      <c r="AX7" s="20">
        <f t="shared" si="19"/>
        <v>0</v>
      </c>
      <c r="AY7" s="20">
        <f t="shared" si="20"/>
        <v>0</v>
      </c>
      <c r="AZ7" s="20">
        <f t="shared" si="21"/>
        <v>19565</v>
      </c>
      <c r="BA7" s="20">
        <f t="shared" si="22"/>
        <v>19565</v>
      </c>
      <c r="BB7" s="20">
        <f t="shared" si="23"/>
        <v>26086</v>
      </c>
      <c r="BC7" s="20">
        <f t="shared" si="24"/>
        <v>0</v>
      </c>
      <c r="BD7" s="20">
        <f t="shared" si="25"/>
        <v>0</v>
      </c>
      <c r="BE7" s="20">
        <f t="shared" si="26"/>
        <v>0</v>
      </c>
      <c r="BF7" s="20">
        <f t="shared" si="27"/>
        <v>0</v>
      </c>
      <c r="BG7" s="20">
        <f t="shared" si="28"/>
        <v>0</v>
      </c>
      <c r="BH7" s="20">
        <f t="shared" si="29"/>
        <v>0</v>
      </c>
      <c r="BI7" s="20">
        <f t="shared" si="30"/>
        <v>0</v>
      </c>
      <c r="BJ7" s="17" t="s">
        <v>904</v>
      </c>
      <c r="BK7" s="17" t="s">
        <v>458</v>
      </c>
      <c r="BL7" s="17" t="s">
        <v>459</v>
      </c>
      <c r="BM7" s="41">
        <f t="shared" si="31"/>
        <v>391297</v>
      </c>
      <c r="BN7" s="37">
        <f t="shared" si="5"/>
        <v>349684</v>
      </c>
    </row>
    <row r="8" spans="1:66" ht="45">
      <c r="A8" s="8" t="s">
        <v>461</v>
      </c>
      <c r="B8" s="8" t="s">
        <v>462</v>
      </c>
      <c r="C8" s="60">
        <v>21</v>
      </c>
      <c r="D8" s="18" t="s">
        <v>463</v>
      </c>
      <c r="E8" s="39">
        <v>3557.83</v>
      </c>
      <c r="F8" s="19">
        <f t="shared" si="0"/>
        <v>355.78300000000002</v>
      </c>
      <c r="G8" s="19">
        <f t="shared" si="1"/>
        <v>67.598770000000002</v>
      </c>
      <c r="H8" s="19">
        <f t="shared" si="2"/>
        <v>3981.2117699999999</v>
      </c>
      <c r="J8" s="8">
        <f t="shared" si="3"/>
        <v>28</v>
      </c>
      <c r="K8" s="8">
        <v>5</v>
      </c>
      <c r="L8" s="8"/>
      <c r="M8" s="8"/>
      <c r="N8" s="8"/>
      <c r="O8" s="8"/>
      <c r="P8" s="8"/>
      <c r="Q8" s="8">
        <v>3</v>
      </c>
      <c r="R8" s="8"/>
      <c r="S8" s="8">
        <v>3</v>
      </c>
      <c r="T8" s="8">
        <v>3</v>
      </c>
      <c r="U8" s="8"/>
      <c r="V8" s="8">
        <v>3</v>
      </c>
      <c r="W8" s="8">
        <v>3</v>
      </c>
      <c r="X8" s="8"/>
      <c r="Y8" s="8"/>
      <c r="Z8" s="8"/>
      <c r="AA8" s="8">
        <v>3</v>
      </c>
      <c r="AB8" s="8">
        <v>3</v>
      </c>
      <c r="AC8" s="8"/>
      <c r="AD8" s="8"/>
      <c r="AE8" s="8"/>
      <c r="AF8" s="8"/>
      <c r="AG8" s="8">
        <v>2</v>
      </c>
      <c r="AH8" s="8"/>
      <c r="AI8" s="8"/>
      <c r="AK8" s="20">
        <f t="shared" si="6"/>
        <v>19906</v>
      </c>
      <c r="AL8" s="20">
        <f t="shared" si="7"/>
        <v>0</v>
      </c>
      <c r="AM8" s="20">
        <f t="shared" si="8"/>
        <v>0</v>
      </c>
      <c r="AN8" s="20">
        <f t="shared" si="9"/>
        <v>0</v>
      </c>
      <c r="AO8" s="20">
        <f t="shared" si="10"/>
        <v>0</v>
      </c>
      <c r="AP8" s="20">
        <f t="shared" si="11"/>
        <v>0</v>
      </c>
      <c r="AQ8" s="20">
        <f t="shared" si="12"/>
        <v>11944</v>
      </c>
      <c r="AR8" s="20">
        <f t="shared" si="13"/>
        <v>0</v>
      </c>
      <c r="AS8" s="20">
        <f t="shared" si="14"/>
        <v>11944</v>
      </c>
      <c r="AT8" s="20">
        <f t="shared" si="15"/>
        <v>11944</v>
      </c>
      <c r="AU8" s="20">
        <f t="shared" si="16"/>
        <v>0</v>
      </c>
      <c r="AV8" s="20">
        <f t="shared" si="17"/>
        <v>11944</v>
      </c>
      <c r="AW8" s="20">
        <f t="shared" si="18"/>
        <v>11944</v>
      </c>
      <c r="AX8" s="20">
        <f t="shared" si="19"/>
        <v>0</v>
      </c>
      <c r="AY8" s="20">
        <f t="shared" si="20"/>
        <v>0</v>
      </c>
      <c r="AZ8" s="20">
        <f t="shared" si="21"/>
        <v>0</v>
      </c>
      <c r="BA8" s="20">
        <f t="shared" si="22"/>
        <v>11944</v>
      </c>
      <c r="BB8" s="20">
        <f t="shared" si="23"/>
        <v>11944</v>
      </c>
      <c r="BC8" s="20">
        <f t="shared" si="24"/>
        <v>0</v>
      </c>
      <c r="BD8" s="20">
        <f t="shared" si="25"/>
        <v>0</v>
      </c>
      <c r="BE8" s="20">
        <f t="shared" si="26"/>
        <v>0</v>
      </c>
      <c r="BF8" s="20">
        <f t="shared" si="27"/>
        <v>0</v>
      </c>
      <c r="BG8" s="20">
        <f t="shared" si="28"/>
        <v>7962</v>
      </c>
      <c r="BH8" s="20">
        <f t="shared" si="29"/>
        <v>0</v>
      </c>
      <c r="BI8" s="20">
        <f t="shared" si="30"/>
        <v>0</v>
      </c>
      <c r="BJ8" s="17" t="s">
        <v>905</v>
      </c>
      <c r="BK8" s="17" t="s">
        <v>461</v>
      </c>
      <c r="BL8" s="17" t="s">
        <v>462</v>
      </c>
      <c r="BM8" s="41">
        <f t="shared" si="31"/>
        <v>111476</v>
      </c>
      <c r="BN8" s="37">
        <f t="shared" si="5"/>
        <v>99619</v>
      </c>
    </row>
    <row r="9" spans="1:66" ht="45">
      <c r="A9" s="8" t="s">
        <v>455</v>
      </c>
      <c r="B9" s="22" t="s">
        <v>456</v>
      </c>
      <c r="C9" s="60">
        <v>25</v>
      </c>
      <c r="D9" s="18" t="s">
        <v>464</v>
      </c>
      <c r="E9" s="39">
        <v>4171.68</v>
      </c>
      <c r="F9" s="19">
        <f t="shared" si="0"/>
        <v>417.16800000000006</v>
      </c>
      <c r="G9" s="19">
        <f t="shared" si="1"/>
        <v>79.261920000000018</v>
      </c>
      <c r="H9" s="19">
        <f t="shared" si="2"/>
        <v>4668.1099199999999</v>
      </c>
      <c r="J9" s="8">
        <f t="shared" si="3"/>
        <v>93</v>
      </c>
      <c r="K9" s="8">
        <v>45</v>
      </c>
      <c r="L9" s="8">
        <v>1</v>
      </c>
      <c r="M9" s="8">
        <v>1</v>
      </c>
      <c r="N9" s="8"/>
      <c r="O9" s="8"/>
      <c r="P9" s="8"/>
      <c r="Q9" s="8">
        <v>8</v>
      </c>
      <c r="R9" s="8"/>
      <c r="S9" s="8">
        <v>8</v>
      </c>
      <c r="T9" s="8"/>
      <c r="U9" s="8"/>
      <c r="V9" s="8">
        <v>8</v>
      </c>
      <c r="W9" s="8">
        <v>4</v>
      </c>
      <c r="X9" s="8"/>
      <c r="Y9" s="8"/>
      <c r="Z9" s="8">
        <v>8</v>
      </c>
      <c r="AA9" s="8">
        <v>4</v>
      </c>
      <c r="AB9" s="8">
        <v>2</v>
      </c>
      <c r="AC9" s="8"/>
      <c r="AD9" s="8">
        <v>4</v>
      </c>
      <c r="AE9" s="8"/>
      <c r="AF9" s="8"/>
      <c r="AG9" s="8"/>
      <c r="AH9" s="8"/>
      <c r="AI9" s="8"/>
      <c r="AK9" s="20">
        <f t="shared" si="6"/>
        <v>210065</v>
      </c>
      <c r="AL9" s="20">
        <f t="shared" si="7"/>
        <v>4668</v>
      </c>
      <c r="AM9" s="20">
        <f t="shared" si="8"/>
        <v>4668</v>
      </c>
      <c r="AN9" s="20">
        <f t="shared" si="9"/>
        <v>0</v>
      </c>
      <c r="AO9" s="20">
        <f t="shared" si="10"/>
        <v>0</v>
      </c>
      <c r="AP9" s="20">
        <f t="shared" si="11"/>
        <v>0</v>
      </c>
      <c r="AQ9" s="20">
        <f t="shared" si="12"/>
        <v>37345</v>
      </c>
      <c r="AR9" s="20">
        <f t="shared" si="13"/>
        <v>0</v>
      </c>
      <c r="AS9" s="20">
        <f t="shared" si="14"/>
        <v>37345</v>
      </c>
      <c r="AT9" s="20">
        <f t="shared" si="15"/>
        <v>0</v>
      </c>
      <c r="AU9" s="20">
        <f t="shared" si="16"/>
        <v>0</v>
      </c>
      <c r="AV9" s="20">
        <f t="shared" si="17"/>
        <v>37345</v>
      </c>
      <c r="AW9" s="20">
        <f t="shared" si="18"/>
        <v>18672</v>
      </c>
      <c r="AX9" s="20">
        <f t="shared" si="19"/>
        <v>0</v>
      </c>
      <c r="AY9" s="20">
        <f t="shared" si="20"/>
        <v>0</v>
      </c>
      <c r="AZ9" s="20">
        <f t="shared" si="21"/>
        <v>37345</v>
      </c>
      <c r="BA9" s="20">
        <f t="shared" si="22"/>
        <v>18672</v>
      </c>
      <c r="BB9" s="20">
        <f t="shared" si="23"/>
        <v>9336</v>
      </c>
      <c r="BC9" s="20">
        <f t="shared" si="24"/>
        <v>0</v>
      </c>
      <c r="BD9" s="20">
        <f t="shared" si="25"/>
        <v>18672</v>
      </c>
      <c r="BE9" s="20">
        <f t="shared" si="26"/>
        <v>0</v>
      </c>
      <c r="BF9" s="20">
        <f t="shared" si="27"/>
        <v>0</v>
      </c>
      <c r="BG9" s="20">
        <f t="shared" si="28"/>
        <v>0</v>
      </c>
      <c r="BH9" s="20">
        <f t="shared" si="29"/>
        <v>0</v>
      </c>
      <c r="BI9" s="20">
        <f t="shared" si="30"/>
        <v>0</v>
      </c>
      <c r="BJ9" s="23" t="s">
        <v>903</v>
      </c>
      <c r="BK9" s="17" t="s">
        <v>455</v>
      </c>
      <c r="BL9" s="23" t="s">
        <v>456</v>
      </c>
      <c r="BM9" s="41">
        <f t="shared" si="31"/>
        <v>434133</v>
      </c>
      <c r="BN9" s="37">
        <f t="shared" si="5"/>
        <v>387966</v>
      </c>
    </row>
    <row r="10" spans="1:66" ht="33.75">
      <c r="A10" s="8" t="s">
        <v>455</v>
      </c>
      <c r="B10" s="22" t="s">
        <v>456</v>
      </c>
      <c r="C10" s="60">
        <v>26</v>
      </c>
      <c r="D10" s="18" t="s">
        <v>465</v>
      </c>
      <c r="E10" s="39">
        <v>2609.44</v>
      </c>
      <c r="F10" s="19">
        <f t="shared" si="0"/>
        <v>260.94400000000002</v>
      </c>
      <c r="G10" s="19">
        <f t="shared" si="1"/>
        <v>49.579360000000001</v>
      </c>
      <c r="H10" s="19">
        <f t="shared" si="2"/>
        <v>2919.9633600000002</v>
      </c>
      <c r="J10" s="8">
        <f t="shared" si="3"/>
        <v>216</v>
      </c>
      <c r="K10" s="8"/>
      <c r="L10" s="8"/>
      <c r="M10" s="8"/>
      <c r="N10" s="8"/>
      <c r="O10" s="8"/>
      <c r="P10" s="8"/>
      <c r="Q10" s="8"/>
      <c r="R10" s="8"/>
      <c r="S10" s="8">
        <v>6</v>
      </c>
      <c r="T10" s="8"/>
      <c r="U10" s="8"/>
      <c r="V10" s="8">
        <v>10</v>
      </c>
      <c r="W10" s="8">
        <v>10</v>
      </c>
      <c r="X10" s="8">
        <v>10</v>
      </c>
      <c r="Y10" s="8">
        <v>9</v>
      </c>
      <c r="Z10" s="8"/>
      <c r="AA10" s="8">
        <v>20</v>
      </c>
      <c r="AB10" s="8">
        <v>6</v>
      </c>
      <c r="AC10" s="8">
        <v>40</v>
      </c>
      <c r="AD10" s="8">
        <v>10</v>
      </c>
      <c r="AE10" s="8">
        <v>30</v>
      </c>
      <c r="AF10" s="8"/>
      <c r="AG10" s="8">
        <v>10</v>
      </c>
      <c r="AH10" s="8">
        <v>25</v>
      </c>
      <c r="AI10" s="8">
        <v>30</v>
      </c>
      <c r="AK10" s="20">
        <f t="shared" si="6"/>
        <v>0</v>
      </c>
      <c r="AL10" s="20">
        <f t="shared" si="7"/>
        <v>0</v>
      </c>
      <c r="AM10" s="20">
        <f t="shared" si="8"/>
        <v>0</v>
      </c>
      <c r="AN10" s="20">
        <f t="shared" si="9"/>
        <v>0</v>
      </c>
      <c r="AO10" s="20">
        <f t="shared" si="10"/>
        <v>0</v>
      </c>
      <c r="AP10" s="20">
        <f t="shared" si="11"/>
        <v>0</v>
      </c>
      <c r="AQ10" s="20">
        <f t="shared" si="12"/>
        <v>0</v>
      </c>
      <c r="AR10" s="20">
        <f t="shared" si="13"/>
        <v>0</v>
      </c>
      <c r="AS10" s="20">
        <f t="shared" si="14"/>
        <v>17520</v>
      </c>
      <c r="AT10" s="20">
        <f t="shared" si="15"/>
        <v>0</v>
      </c>
      <c r="AU10" s="20">
        <f t="shared" si="16"/>
        <v>0</v>
      </c>
      <c r="AV10" s="20">
        <f t="shared" si="17"/>
        <v>29200</v>
      </c>
      <c r="AW10" s="20">
        <f t="shared" si="18"/>
        <v>29200</v>
      </c>
      <c r="AX10" s="20">
        <f t="shared" si="19"/>
        <v>29200</v>
      </c>
      <c r="AY10" s="20">
        <f t="shared" si="20"/>
        <v>26280</v>
      </c>
      <c r="AZ10" s="20">
        <f t="shared" si="21"/>
        <v>0</v>
      </c>
      <c r="BA10" s="20">
        <f t="shared" si="22"/>
        <v>58399</v>
      </c>
      <c r="BB10" s="20">
        <f t="shared" si="23"/>
        <v>17520</v>
      </c>
      <c r="BC10" s="20">
        <f t="shared" si="24"/>
        <v>116799</v>
      </c>
      <c r="BD10" s="20">
        <f t="shared" si="25"/>
        <v>29200</v>
      </c>
      <c r="BE10" s="20">
        <f t="shared" si="26"/>
        <v>87599</v>
      </c>
      <c r="BF10" s="20">
        <f t="shared" si="27"/>
        <v>0</v>
      </c>
      <c r="BG10" s="20">
        <f t="shared" si="28"/>
        <v>29200</v>
      </c>
      <c r="BH10" s="20">
        <f t="shared" si="29"/>
        <v>72999</v>
      </c>
      <c r="BI10" s="20">
        <f t="shared" si="30"/>
        <v>87599</v>
      </c>
      <c r="BJ10" s="23" t="s">
        <v>903</v>
      </c>
      <c r="BK10" s="17" t="s">
        <v>455</v>
      </c>
      <c r="BL10" s="23" t="s">
        <v>456</v>
      </c>
      <c r="BM10" s="41">
        <f t="shared" si="31"/>
        <v>630715</v>
      </c>
      <c r="BN10" s="37">
        <f t="shared" si="5"/>
        <v>563639</v>
      </c>
    </row>
    <row r="11" spans="1:66" ht="56.25">
      <c r="A11" s="8" t="s">
        <v>466</v>
      </c>
      <c r="B11" s="17" t="s">
        <v>467</v>
      </c>
      <c r="C11" s="60">
        <v>27</v>
      </c>
      <c r="D11" s="18" t="s">
        <v>468</v>
      </c>
      <c r="E11" s="39">
        <v>3547.72</v>
      </c>
      <c r="F11" s="19">
        <f t="shared" si="0"/>
        <v>354.77199999999999</v>
      </c>
      <c r="G11" s="19">
        <f t="shared" si="1"/>
        <v>67.406679999999994</v>
      </c>
      <c r="H11" s="19">
        <f t="shared" si="2"/>
        <v>3969.8986799999998</v>
      </c>
      <c r="J11" s="8">
        <f t="shared" si="3"/>
        <v>73</v>
      </c>
      <c r="K11" s="8">
        <v>45</v>
      </c>
      <c r="L11" s="8">
        <v>5</v>
      </c>
      <c r="M11" s="8"/>
      <c r="N11" s="8"/>
      <c r="O11" s="8"/>
      <c r="P11" s="8"/>
      <c r="Q11" s="8">
        <v>5</v>
      </c>
      <c r="R11" s="8"/>
      <c r="S11" s="8">
        <v>5</v>
      </c>
      <c r="T11" s="8">
        <v>5</v>
      </c>
      <c r="U11" s="8">
        <v>5</v>
      </c>
      <c r="V11" s="8"/>
      <c r="W11" s="8"/>
      <c r="X11" s="8"/>
      <c r="Y11" s="8">
        <v>3</v>
      </c>
      <c r="Z11" s="8"/>
      <c r="AA11" s="8"/>
      <c r="AB11" s="8"/>
      <c r="AC11" s="8"/>
      <c r="AD11" s="8"/>
      <c r="AE11" s="8"/>
      <c r="AF11" s="8"/>
      <c r="AG11" s="8"/>
      <c r="AH11" s="8"/>
      <c r="AI11" s="8"/>
      <c r="AK11" s="20">
        <f t="shared" si="6"/>
        <v>178645</v>
      </c>
      <c r="AL11" s="20">
        <f t="shared" si="7"/>
        <v>19849</v>
      </c>
      <c r="AM11" s="20">
        <f t="shared" si="8"/>
        <v>0</v>
      </c>
      <c r="AN11" s="20">
        <f t="shared" si="9"/>
        <v>0</v>
      </c>
      <c r="AO11" s="20">
        <f t="shared" si="10"/>
        <v>0</v>
      </c>
      <c r="AP11" s="20">
        <f t="shared" si="11"/>
        <v>0</v>
      </c>
      <c r="AQ11" s="20">
        <f t="shared" si="12"/>
        <v>19849</v>
      </c>
      <c r="AR11" s="20">
        <f t="shared" si="13"/>
        <v>0</v>
      </c>
      <c r="AS11" s="20">
        <f t="shared" si="14"/>
        <v>19849</v>
      </c>
      <c r="AT11" s="20">
        <f t="shared" si="15"/>
        <v>19849</v>
      </c>
      <c r="AU11" s="20">
        <f t="shared" si="16"/>
        <v>19849</v>
      </c>
      <c r="AV11" s="20">
        <f t="shared" si="17"/>
        <v>0</v>
      </c>
      <c r="AW11" s="20">
        <f t="shared" si="18"/>
        <v>0</v>
      </c>
      <c r="AX11" s="20">
        <f t="shared" si="19"/>
        <v>0</v>
      </c>
      <c r="AY11" s="20">
        <f t="shared" si="20"/>
        <v>11910</v>
      </c>
      <c r="AZ11" s="20">
        <f t="shared" si="21"/>
        <v>0</v>
      </c>
      <c r="BA11" s="20">
        <f t="shared" si="22"/>
        <v>0</v>
      </c>
      <c r="BB11" s="20">
        <f t="shared" si="23"/>
        <v>0</v>
      </c>
      <c r="BC11" s="20">
        <f t="shared" si="24"/>
        <v>0</v>
      </c>
      <c r="BD11" s="20">
        <f t="shared" si="25"/>
        <v>0</v>
      </c>
      <c r="BE11" s="20">
        <f t="shared" si="26"/>
        <v>0</v>
      </c>
      <c r="BF11" s="20">
        <f t="shared" si="27"/>
        <v>0</v>
      </c>
      <c r="BG11" s="20">
        <f t="shared" si="28"/>
        <v>0</v>
      </c>
      <c r="BH11" s="20">
        <f t="shared" si="29"/>
        <v>0</v>
      </c>
      <c r="BI11" s="20">
        <f t="shared" si="30"/>
        <v>0</v>
      </c>
      <c r="BJ11" s="17" t="s">
        <v>906</v>
      </c>
      <c r="BK11" s="17" t="s">
        <v>466</v>
      </c>
      <c r="BL11" s="17" t="s">
        <v>467</v>
      </c>
      <c r="BM11" s="41">
        <f t="shared" si="31"/>
        <v>289800</v>
      </c>
      <c r="BN11" s="37">
        <f t="shared" si="5"/>
        <v>258984</v>
      </c>
    </row>
    <row r="12" spans="1:66" ht="34.5" customHeight="1">
      <c r="A12" s="8" t="s">
        <v>469</v>
      </c>
      <c r="B12" s="21" t="s">
        <v>470</v>
      </c>
      <c r="C12" s="60">
        <v>30</v>
      </c>
      <c r="D12" s="18" t="s">
        <v>471</v>
      </c>
      <c r="E12" s="39">
        <v>4305.5</v>
      </c>
      <c r="F12" s="19">
        <f t="shared" si="0"/>
        <v>430.55</v>
      </c>
      <c r="G12" s="19">
        <f t="shared" si="1"/>
        <v>81.804500000000004</v>
      </c>
      <c r="H12" s="19">
        <f t="shared" si="2"/>
        <v>4817.8545000000004</v>
      </c>
      <c r="J12" s="8">
        <f t="shared" si="3"/>
        <v>120</v>
      </c>
      <c r="K12" s="8">
        <v>45</v>
      </c>
      <c r="L12" s="8">
        <v>4</v>
      </c>
      <c r="M12" s="8">
        <v>4</v>
      </c>
      <c r="N12" s="8"/>
      <c r="O12" s="8">
        <v>2</v>
      </c>
      <c r="P12" s="8">
        <v>4</v>
      </c>
      <c r="Q12" s="8">
        <v>4</v>
      </c>
      <c r="R12" s="8">
        <v>4</v>
      </c>
      <c r="S12" s="8">
        <v>8</v>
      </c>
      <c r="T12" s="8">
        <v>4</v>
      </c>
      <c r="U12" s="8">
        <v>4</v>
      </c>
      <c r="V12" s="8">
        <v>4</v>
      </c>
      <c r="W12" s="8">
        <v>4</v>
      </c>
      <c r="X12" s="8"/>
      <c r="Y12" s="8">
        <v>4</v>
      </c>
      <c r="Z12" s="8">
        <v>4</v>
      </c>
      <c r="AA12" s="8">
        <v>4</v>
      </c>
      <c r="AB12" s="8">
        <v>8</v>
      </c>
      <c r="AC12" s="8"/>
      <c r="AD12" s="8"/>
      <c r="AE12" s="8"/>
      <c r="AF12" s="8"/>
      <c r="AG12" s="8">
        <v>3</v>
      </c>
      <c r="AH12" s="8"/>
      <c r="AI12" s="8">
        <v>6</v>
      </c>
      <c r="AK12" s="20">
        <f t="shared" si="6"/>
        <v>216803</v>
      </c>
      <c r="AL12" s="20">
        <f t="shared" si="7"/>
        <v>19271</v>
      </c>
      <c r="AM12" s="20">
        <f t="shared" si="8"/>
        <v>19271</v>
      </c>
      <c r="AN12" s="20">
        <f t="shared" si="9"/>
        <v>0</v>
      </c>
      <c r="AO12" s="20">
        <f t="shared" si="10"/>
        <v>9636</v>
      </c>
      <c r="AP12" s="20">
        <f t="shared" si="11"/>
        <v>19271</v>
      </c>
      <c r="AQ12" s="20">
        <f t="shared" si="12"/>
        <v>19271</v>
      </c>
      <c r="AR12" s="20">
        <f t="shared" si="13"/>
        <v>19271</v>
      </c>
      <c r="AS12" s="20">
        <f t="shared" si="14"/>
        <v>38543</v>
      </c>
      <c r="AT12" s="20">
        <f t="shared" si="15"/>
        <v>19271</v>
      </c>
      <c r="AU12" s="20">
        <f t="shared" si="16"/>
        <v>19271</v>
      </c>
      <c r="AV12" s="20">
        <f t="shared" si="17"/>
        <v>19271</v>
      </c>
      <c r="AW12" s="20">
        <f t="shared" si="18"/>
        <v>19271</v>
      </c>
      <c r="AX12" s="20">
        <f t="shared" si="19"/>
        <v>0</v>
      </c>
      <c r="AY12" s="20">
        <f t="shared" si="20"/>
        <v>19271</v>
      </c>
      <c r="AZ12" s="20">
        <f t="shared" si="21"/>
        <v>19271</v>
      </c>
      <c r="BA12" s="20">
        <f t="shared" si="22"/>
        <v>19271</v>
      </c>
      <c r="BB12" s="20">
        <f t="shared" si="23"/>
        <v>38543</v>
      </c>
      <c r="BC12" s="20">
        <f t="shared" si="24"/>
        <v>0</v>
      </c>
      <c r="BD12" s="20">
        <f t="shared" si="25"/>
        <v>0</v>
      </c>
      <c r="BE12" s="20">
        <f t="shared" si="26"/>
        <v>0</v>
      </c>
      <c r="BF12" s="20">
        <f t="shared" si="27"/>
        <v>0</v>
      </c>
      <c r="BG12" s="20">
        <f t="shared" si="28"/>
        <v>14454</v>
      </c>
      <c r="BH12" s="20">
        <f t="shared" si="29"/>
        <v>0</v>
      </c>
      <c r="BI12" s="20">
        <f t="shared" si="30"/>
        <v>28907</v>
      </c>
      <c r="BJ12" s="21" t="s">
        <v>907</v>
      </c>
      <c r="BK12" s="17" t="s">
        <v>469</v>
      </c>
      <c r="BL12" s="21" t="s">
        <v>470</v>
      </c>
      <c r="BM12" s="41">
        <f t="shared" si="31"/>
        <v>578138</v>
      </c>
      <c r="BN12" s="37">
        <f t="shared" si="5"/>
        <v>516660</v>
      </c>
    </row>
    <row r="13" spans="1:66" ht="33.75">
      <c r="A13" s="8" t="s">
        <v>472</v>
      </c>
      <c r="B13" s="8" t="s">
        <v>473</v>
      </c>
      <c r="C13" s="60">
        <v>44</v>
      </c>
      <c r="D13" s="18" t="s">
        <v>474</v>
      </c>
      <c r="E13" s="39">
        <v>14997.67</v>
      </c>
      <c r="F13" s="19">
        <f t="shared" si="0"/>
        <v>1499.7670000000001</v>
      </c>
      <c r="G13" s="19">
        <f t="shared" si="1"/>
        <v>284.95573000000002</v>
      </c>
      <c r="H13" s="19">
        <f t="shared" si="2"/>
        <v>16782.392730000003</v>
      </c>
      <c r="J13" s="8">
        <f t="shared" si="3"/>
        <v>76</v>
      </c>
      <c r="K13" s="8">
        <v>40</v>
      </c>
      <c r="L13" s="8">
        <v>8</v>
      </c>
      <c r="M13" s="8"/>
      <c r="N13" s="8"/>
      <c r="O13" s="8"/>
      <c r="P13" s="8"/>
      <c r="Q13" s="8"/>
      <c r="R13" s="8">
        <v>5</v>
      </c>
      <c r="S13" s="8"/>
      <c r="T13" s="8">
        <v>8</v>
      </c>
      <c r="U13" s="8"/>
      <c r="V13" s="8">
        <v>4</v>
      </c>
      <c r="W13" s="8"/>
      <c r="X13" s="8"/>
      <c r="Y13" s="8"/>
      <c r="Z13" s="8"/>
      <c r="AA13" s="8">
        <v>4</v>
      </c>
      <c r="AB13" s="8">
        <v>4</v>
      </c>
      <c r="AC13" s="8"/>
      <c r="AD13" s="8">
        <v>3</v>
      </c>
      <c r="AE13" s="8"/>
      <c r="AF13" s="8"/>
      <c r="AG13" s="8"/>
      <c r="AH13" s="8"/>
      <c r="AI13" s="8"/>
      <c r="AK13" s="20">
        <f t="shared" si="6"/>
        <v>671296</v>
      </c>
      <c r="AL13" s="20">
        <f t="shared" si="7"/>
        <v>134259</v>
      </c>
      <c r="AM13" s="20">
        <f t="shared" si="8"/>
        <v>0</v>
      </c>
      <c r="AN13" s="20">
        <f t="shared" si="9"/>
        <v>0</v>
      </c>
      <c r="AO13" s="20">
        <f t="shared" si="10"/>
        <v>0</v>
      </c>
      <c r="AP13" s="20">
        <f t="shared" si="11"/>
        <v>0</v>
      </c>
      <c r="AQ13" s="20">
        <f t="shared" si="12"/>
        <v>0</v>
      </c>
      <c r="AR13" s="20">
        <f t="shared" si="13"/>
        <v>83912</v>
      </c>
      <c r="AS13" s="20">
        <f t="shared" si="14"/>
        <v>0</v>
      </c>
      <c r="AT13" s="20">
        <f t="shared" si="15"/>
        <v>134259</v>
      </c>
      <c r="AU13" s="20">
        <f t="shared" si="16"/>
        <v>0</v>
      </c>
      <c r="AV13" s="20">
        <f t="shared" si="17"/>
        <v>67130</v>
      </c>
      <c r="AW13" s="20">
        <f t="shared" si="18"/>
        <v>0</v>
      </c>
      <c r="AX13" s="20">
        <f t="shared" si="19"/>
        <v>0</v>
      </c>
      <c r="AY13" s="20">
        <f t="shared" si="20"/>
        <v>0</v>
      </c>
      <c r="AZ13" s="20">
        <f t="shared" si="21"/>
        <v>0</v>
      </c>
      <c r="BA13" s="20">
        <f t="shared" si="22"/>
        <v>67130</v>
      </c>
      <c r="BB13" s="20">
        <f t="shared" si="23"/>
        <v>67130</v>
      </c>
      <c r="BC13" s="20">
        <f t="shared" si="24"/>
        <v>0</v>
      </c>
      <c r="BD13" s="20">
        <f t="shared" si="25"/>
        <v>50347</v>
      </c>
      <c r="BE13" s="20">
        <f t="shared" si="26"/>
        <v>0</v>
      </c>
      <c r="BF13" s="20">
        <f t="shared" si="27"/>
        <v>0</v>
      </c>
      <c r="BG13" s="20">
        <f t="shared" si="28"/>
        <v>0</v>
      </c>
      <c r="BH13" s="20">
        <f t="shared" si="29"/>
        <v>0</v>
      </c>
      <c r="BI13" s="20">
        <f t="shared" si="30"/>
        <v>0</v>
      </c>
      <c r="BJ13" s="17" t="s">
        <v>908</v>
      </c>
      <c r="BK13" s="17" t="s">
        <v>472</v>
      </c>
      <c r="BL13" s="17" t="s">
        <v>473</v>
      </c>
      <c r="BM13" s="41">
        <f t="shared" si="31"/>
        <v>1275463</v>
      </c>
      <c r="BN13" s="37">
        <f t="shared" si="5"/>
        <v>1139823</v>
      </c>
    </row>
    <row r="14" spans="1:66" ht="34.5" customHeight="1">
      <c r="A14" s="8" t="s">
        <v>475</v>
      </c>
      <c r="B14" s="8" t="s">
        <v>476</v>
      </c>
      <c r="C14" s="60">
        <v>48</v>
      </c>
      <c r="D14" s="18" t="s">
        <v>477</v>
      </c>
      <c r="E14" s="39">
        <v>26053.94</v>
      </c>
      <c r="F14" s="19">
        <f t="shared" si="0"/>
        <v>2605.3940000000002</v>
      </c>
      <c r="G14" s="19">
        <f t="shared" si="1"/>
        <v>495.02486000000005</v>
      </c>
      <c r="H14" s="19">
        <f t="shared" si="2"/>
        <v>29154.35886</v>
      </c>
      <c r="J14" s="8">
        <f t="shared" si="3"/>
        <v>62</v>
      </c>
      <c r="K14" s="8">
        <v>30</v>
      </c>
      <c r="L14" s="8">
        <v>5</v>
      </c>
      <c r="M14" s="8">
        <v>2</v>
      </c>
      <c r="N14" s="8"/>
      <c r="O14" s="8"/>
      <c r="P14" s="8"/>
      <c r="Q14" s="8"/>
      <c r="R14" s="8"/>
      <c r="S14" s="8">
        <v>2</v>
      </c>
      <c r="T14" s="8">
        <v>2</v>
      </c>
      <c r="U14" s="8"/>
      <c r="V14" s="8">
        <v>4</v>
      </c>
      <c r="W14" s="8"/>
      <c r="X14" s="8">
        <v>5</v>
      </c>
      <c r="Y14" s="8">
        <v>2</v>
      </c>
      <c r="Z14" s="8">
        <v>2</v>
      </c>
      <c r="AA14" s="8">
        <v>2</v>
      </c>
      <c r="AB14" s="8">
        <v>4</v>
      </c>
      <c r="AC14" s="8"/>
      <c r="AD14" s="8">
        <v>1</v>
      </c>
      <c r="AE14" s="8"/>
      <c r="AF14" s="8"/>
      <c r="AG14" s="8"/>
      <c r="AH14" s="8"/>
      <c r="AI14" s="8">
        <v>1</v>
      </c>
      <c r="AK14" s="20">
        <f t="shared" si="6"/>
        <v>874631</v>
      </c>
      <c r="AL14" s="20">
        <f t="shared" si="7"/>
        <v>145772</v>
      </c>
      <c r="AM14" s="20">
        <f t="shared" si="8"/>
        <v>58309</v>
      </c>
      <c r="AN14" s="20">
        <f t="shared" si="9"/>
        <v>0</v>
      </c>
      <c r="AO14" s="20">
        <f t="shared" si="10"/>
        <v>0</v>
      </c>
      <c r="AP14" s="20">
        <f t="shared" si="11"/>
        <v>0</v>
      </c>
      <c r="AQ14" s="20">
        <f t="shared" si="12"/>
        <v>0</v>
      </c>
      <c r="AR14" s="20">
        <f t="shared" si="13"/>
        <v>0</v>
      </c>
      <c r="AS14" s="20">
        <f t="shared" si="14"/>
        <v>58309</v>
      </c>
      <c r="AT14" s="20">
        <f t="shared" si="15"/>
        <v>58309</v>
      </c>
      <c r="AU14" s="20">
        <f t="shared" si="16"/>
        <v>0</v>
      </c>
      <c r="AV14" s="20">
        <f t="shared" si="17"/>
        <v>116617</v>
      </c>
      <c r="AW14" s="20">
        <f t="shared" si="18"/>
        <v>0</v>
      </c>
      <c r="AX14" s="20">
        <f t="shared" si="19"/>
        <v>145772</v>
      </c>
      <c r="AY14" s="20">
        <f t="shared" si="20"/>
        <v>58309</v>
      </c>
      <c r="AZ14" s="20">
        <f t="shared" si="21"/>
        <v>58309</v>
      </c>
      <c r="BA14" s="20">
        <f t="shared" si="22"/>
        <v>58309</v>
      </c>
      <c r="BB14" s="20">
        <f t="shared" si="23"/>
        <v>116617</v>
      </c>
      <c r="BC14" s="20">
        <f t="shared" si="24"/>
        <v>0</v>
      </c>
      <c r="BD14" s="20">
        <f t="shared" si="25"/>
        <v>29154</v>
      </c>
      <c r="BE14" s="20">
        <f t="shared" si="26"/>
        <v>0</v>
      </c>
      <c r="BF14" s="20">
        <f t="shared" si="27"/>
        <v>0</v>
      </c>
      <c r="BG14" s="20">
        <f t="shared" si="28"/>
        <v>0</v>
      </c>
      <c r="BH14" s="20">
        <f t="shared" si="29"/>
        <v>0</v>
      </c>
      <c r="BI14" s="20">
        <f t="shared" si="30"/>
        <v>29154</v>
      </c>
      <c r="BJ14" s="17" t="s">
        <v>909</v>
      </c>
      <c r="BK14" s="17" t="s">
        <v>475</v>
      </c>
      <c r="BL14" s="17" t="s">
        <v>476</v>
      </c>
      <c r="BM14" s="41">
        <f t="shared" si="31"/>
        <v>1807571</v>
      </c>
      <c r="BN14" s="37">
        <f t="shared" si="5"/>
        <v>1615344</v>
      </c>
    </row>
    <row r="15" spans="1:66" ht="34.5" customHeight="1">
      <c r="A15" s="8" t="s">
        <v>472</v>
      </c>
      <c r="B15" s="8" t="s">
        <v>473</v>
      </c>
      <c r="C15" s="60">
        <v>49</v>
      </c>
      <c r="D15" s="18" t="s">
        <v>478</v>
      </c>
      <c r="E15" s="39">
        <v>14282.68</v>
      </c>
      <c r="F15" s="19">
        <f t="shared" si="0"/>
        <v>1428.268</v>
      </c>
      <c r="G15" s="19">
        <f t="shared" si="1"/>
        <v>271.37092000000001</v>
      </c>
      <c r="H15" s="19">
        <f t="shared" si="2"/>
        <v>15982.31892</v>
      </c>
      <c r="J15" s="8">
        <f t="shared" si="3"/>
        <v>72</v>
      </c>
      <c r="K15" s="8">
        <v>45</v>
      </c>
      <c r="L15" s="8">
        <v>3</v>
      </c>
      <c r="M15" s="8">
        <v>1</v>
      </c>
      <c r="N15" s="8"/>
      <c r="O15" s="8"/>
      <c r="P15" s="8"/>
      <c r="Q15" s="8"/>
      <c r="R15" s="8"/>
      <c r="S15" s="8"/>
      <c r="T15" s="8">
        <v>3</v>
      </c>
      <c r="U15" s="8"/>
      <c r="V15" s="8">
        <v>4</v>
      </c>
      <c r="W15" s="8"/>
      <c r="X15" s="8">
        <v>5</v>
      </c>
      <c r="Y15" s="8">
        <v>3</v>
      </c>
      <c r="Z15" s="8">
        <v>3</v>
      </c>
      <c r="AA15" s="8">
        <v>3</v>
      </c>
      <c r="AB15" s="8">
        <v>2</v>
      </c>
      <c r="AC15" s="8"/>
      <c r="AD15" s="8"/>
      <c r="AE15" s="8"/>
      <c r="AF15" s="8"/>
      <c r="AG15" s="8"/>
      <c r="AH15" s="8"/>
      <c r="AI15" s="8"/>
      <c r="AK15" s="20">
        <f t="shared" si="6"/>
        <v>719204</v>
      </c>
      <c r="AL15" s="20">
        <f t="shared" si="7"/>
        <v>47947</v>
      </c>
      <c r="AM15" s="20">
        <f t="shared" si="8"/>
        <v>15982</v>
      </c>
      <c r="AN15" s="20">
        <f t="shared" si="9"/>
        <v>0</v>
      </c>
      <c r="AO15" s="20">
        <f t="shared" si="10"/>
        <v>0</v>
      </c>
      <c r="AP15" s="20">
        <f t="shared" si="11"/>
        <v>0</v>
      </c>
      <c r="AQ15" s="20">
        <f t="shared" si="12"/>
        <v>0</v>
      </c>
      <c r="AR15" s="20">
        <f t="shared" si="13"/>
        <v>0</v>
      </c>
      <c r="AS15" s="20">
        <f t="shared" si="14"/>
        <v>0</v>
      </c>
      <c r="AT15" s="20">
        <f t="shared" si="15"/>
        <v>47947</v>
      </c>
      <c r="AU15" s="20">
        <f t="shared" si="16"/>
        <v>0</v>
      </c>
      <c r="AV15" s="20">
        <f t="shared" si="17"/>
        <v>63929</v>
      </c>
      <c r="AW15" s="20">
        <f t="shared" si="18"/>
        <v>0</v>
      </c>
      <c r="AX15" s="20">
        <f t="shared" si="19"/>
        <v>79912</v>
      </c>
      <c r="AY15" s="20">
        <f t="shared" si="20"/>
        <v>47947</v>
      </c>
      <c r="AZ15" s="20">
        <f t="shared" si="21"/>
        <v>47947</v>
      </c>
      <c r="BA15" s="20">
        <f t="shared" si="22"/>
        <v>47947</v>
      </c>
      <c r="BB15" s="20">
        <f t="shared" si="23"/>
        <v>31965</v>
      </c>
      <c r="BC15" s="20">
        <f t="shared" si="24"/>
        <v>0</v>
      </c>
      <c r="BD15" s="20">
        <f t="shared" si="25"/>
        <v>0</v>
      </c>
      <c r="BE15" s="20">
        <f t="shared" si="26"/>
        <v>0</v>
      </c>
      <c r="BF15" s="20">
        <f t="shared" si="27"/>
        <v>0</v>
      </c>
      <c r="BG15" s="20">
        <f t="shared" si="28"/>
        <v>0</v>
      </c>
      <c r="BH15" s="20">
        <f t="shared" si="29"/>
        <v>0</v>
      </c>
      <c r="BI15" s="20">
        <f t="shared" si="30"/>
        <v>0</v>
      </c>
      <c r="BJ15" s="17" t="s">
        <v>908</v>
      </c>
      <c r="BK15" s="17" t="s">
        <v>472</v>
      </c>
      <c r="BL15" s="17" t="s">
        <v>473</v>
      </c>
      <c r="BM15" s="41">
        <f t="shared" si="31"/>
        <v>1150727</v>
      </c>
      <c r="BN15" s="37">
        <f t="shared" si="5"/>
        <v>1028353</v>
      </c>
    </row>
    <row r="16" spans="1:66" ht="34.5" customHeight="1">
      <c r="A16" s="8" t="s">
        <v>475</v>
      </c>
      <c r="B16" s="8" t="s">
        <v>476</v>
      </c>
      <c r="C16" s="60">
        <v>50</v>
      </c>
      <c r="D16" s="18" t="s">
        <v>479</v>
      </c>
      <c r="E16" s="39">
        <v>5887.19</v>
      </c>
      <c r="F16" s="19">
        <f t="shared" si="0"/>
        <v>588.71899999999994</v>
      </c>
      <c r="G16" s="19">
        <f t="shared" si="1"/>
        <v>111.85660999999999</v>
      </c>
      <c r="H16" s="19">
        <f t="shared" si="2"/>
        <v>6587.7656099999995</v>
      </c>
      <c r="J16" s="8">
        <f t="shared" si="3"/>
        <v>77</v>
      </c>
      <c r="K16" s="8">
        <v>55</v>
      </c>
      <c r="L16" s="8"/>
      <c r="M16" s="8">
        <v>2</v>
      </c>
      <c r="N16" s="8"/>
      <c r="O16" s="8"/>
      <c r="P16" s="8"/>
      <c r="Q16" s="8">
        <v>2</v>
      </c>
      <c r="R16" s="8">
        <v>2</v>
      </c>
      <c r="S16" s="8">
        <v>2</v>
      </c>
      <c r="T16" s="8">
        <v>2</v>
      </c>
      <c r="U16" s="8">
        <v>2</v>
      </c>
      <c r="V16" s="8">
        <v>2</v>
      </c>
      <c r="W16" s="8"/>
      <c r="X16" s="8"/>
      <c r="Y16" s="8">
        <v>2</v>
      </c>
      <c r="Z16" s="8">
        <v>2</v>
      </c>
      <c r="AA16" s="8">
        <v>2</v>
      </c>
      <c r="AB16" s="8">
        <v>2</v>
      </c>
      <c r="AC16" s="8"/>
      <c r="AD16" s="8"/>
      <c r="AE16" s="8"/>
      <c r="AF16" s="8"/>
      <c r="AG16" s="8"/>
      <c r="AH16" s="8"/>
      <c r="AI16" s="8"/>
      <c r="AK16" s="20">
        <f t="shared" si="6"/>
        <v>362327</v>
      </c>
      <c r="AL16" s="20">
        <f t="shared" si="7"/>
        <v>0</v>
      </c>
      <c r="AM16" s="20">
        <f t="shared" si="8"/>
        <v>13176</v>
      </c>
      <c r="AN16" s="20">
        <f t="shared" si="9"/>
        <v>0</v>
      </c>
      <c r="AO16" s="20">
        <f t="shared" si="10"/>
        <v>0</v>
      </c>
      <c r="AP16" s="20">
        <f t="shared" si="11"/>
        <v>0</v>
      </c>
      <c r="AQ16" s="20">
        <f t="shared" si="12"/>
        <v>13176</v>
      </c>
      <c r="AR16" s="20">
        <f t="shared" si="13"/>
        <v>13176</v>
      </c>
      <c r="AS16" s="20">
        <f t="shared" si="14"/>
        <v>13176</v>
      </c>
      <c r="AT16" s="20">
        <f t="shared" si="15"/>
        <v>13176</v>
      </c>
      <c r="AU16" s="20">
        <f t="shared" si="16"/>
        <v>13176</v>
      </c>
      <c r="AV16" s="20">
        <f t="shared" si="17"/>
        <v>13176</v>
      </c>
      <c r="AW16" s="20">
        <f t="shared" si="18"/>
        <v>0</v>
      </c>
      <c r="AX16" s="20">
        <f t="shared" si="19"/>
        <v>0</v>
      </c>
      <c r="AY16" s="20">
        <f t="shared" si="20"/>
        <v>13176</v>
      </c>
      <c r="AZ16" s="20">
        <f t="shared" si="21"/>
        <v>13176</v>
      </c>
      <c r="BA16" s="20">
        <f t="shared" si="22"/>
        <v>13176</v>
      </c>
      <c r="BB16" s="20">
        <f t="shared" si="23"/>
        <v>13176</v>
      </c>
      <c r="BC16" s="20">
        <f t="shared" si="24"/>
        <v>0</v>
      </c>
      <c r="BD16" s="20">
        <f t="shared" si="25"/>
        <v>0</v>
      </c>
      <c r="BE16" s="20">
        <f t="shared" si="26"/>
        <v>0</v>
      </c>
      <c r="BF16" s="20">
        <f t="shared" si="27"/>
        <v>0</v>
      </c>
      <c r="BG16" s="20">
        <f t="shared" si="28"/>
        <v>0</v>
      </c>
      <c r="BH16" s="20">
        <f t="shared" si="29"/>
        <v>0</v>
      </c>
      <c r="BI16" s="20">
        <f t="shared" si="30"/>
        <v>0</v>
      </c>
      <c r="BJ16" s="17" t="s">
        <v>909</v>
      </c>
      <c r="BK16" s="17" t="s">
        <v>475</v>
      </c>
      <c r="BL16" s="17" t="s">
        <v>476</v>
      </c>
      <c r="BM16" s="41">
        <f t="shared" si="31"/>
        <v>507263</v>
      </c>
      <c r="BN16" s="37">
        <f t="shared" si="5"/>
        <v>453314</v>
      </c>
    </row>
    <row r="17" spans="1:66" ht="78.75">
      <c r="A17" s="8" t="s">
        <v>475</v>
      </c>
      <c r="B17" s="8" t="s">
        <v>476</v>
      </c>
      <c r="C17" s="60">
        <v>52</v>
      </c>
      <c r="D17" s="18" t="s">
        <v>480</v>
      </c>
      <c r="E17" s="39">
        <v>5775.93</v>
      </c>
      <c r="F17" s="19">
        <f t="shared" si="0"/>
        <v>577.59300000000007</v>
      </c>
      <c r="G17" s="19">
        <f t="shared" si="1"/>
        <v>109.74267000000002</v>
      </c>
      <c r="H17" s="19">
        <f t="shared" si="2"/>
        <v>6463.2656699999998</v>
      </c>
      <c r="J17" s="8">
        <f t="shared" si="3"/>
        <v>51</v>
      </c>
      <c r="K17" s="8">
        <v>20</v>
      </c>
      <c r="L17" s="8">
        <v>3</v>
      </c>
      <c r="M17" s="8"/>
      <c r="N17" s="8"/>
      <c r="O17" s="8"/>
      <c r="P17" s="8"/>
      <c r="Q17" s="8"/>
      <c r="R17" s="8"/>
      <c r="S17" s="8">
        <v>3</v>
      </c>
      <c r="T17" s="8">
        <v>3</v>
      </c>
      <c r="U17" s="8">
        <v>3</v>
      </c>
      <c r="V17" s="8"/>
      <c r="W17" s="8">
        <v>3</v>
      </c>
      <c r="X17" s="8"/>
      <c r="Y17" s="8">
        <v>3</v>
      </c>
      <c r="Z17" s="8"/>
      <c r="AA17" s="8">
        <v>3</v>
      </c>
      <c r="AB17" s="8">
        <v>6</v>
      </c>
      <c r="AC17" s="8"/>
      <c r="AD17" s="8"/>
      <c r="AE17" s="8"/>
      <c r="AF17" s="8"/>
      <c r="AG17" s="8">
        <v>2</v>
      </c>
      <c r="AH17" s="8"/>
      <c r="AI17" s="8">
        <v>2</v>
      </c>
      <c r="AK17" s="20">
        <f t="shared" si="6"/>
        <v>129265</v>
      </c>
      <c r="AL17" s="20">
        <f t="shared" si="7"/>
        <v>19390</v>
      </c>
      <c r="AM17" s="20">
        <f t="shared" si="8"/>
        <v>0</v>
      </c>
      <c r="AN17" s="20">
        <f t="shared" si="9"/>
        <v>0</v>
      </c>
      <c r="AO17" s="20">
        <f t="shared" si="10"/>
        <v>0</v>
      </c>
      <c r="AP17" s="20">
        <f t="shared" si="11"/>
        <v>0</v>
      </c>
      <c r="AQ17" s="20">
        <f t="shared" si="12"/>
        <v>0</v>
      </c>
      <c r="AR17" s="20">
        <f t="shared" si="13"/>
        <v>0</v>
      </c>
      <c r="AS17" s="20">
        <f t="shared" si="14"/>
        <v>19390</v>
      </c>
      <c r="AT17" s="20">
        <f t="shared" si="15"/>
        <v>19390</v>
      </c>
      <c r="AU17" s="20">
        <f t="shared" si="16"/>
        <v>19390</v>
      </c>
      <c r="AV17" s="20">
        <f t="shared" si="17"/>
        <v>0</v>
      </c>
      <c r="AW17" s="20">
        <f t="shared" si="18"/>
        <v>19390</v>
      </c>
      <c r="AX17" s="20">
        <f t="shared" si="19"/>
        <v>0</v>
      </c>
      <c r="AY17" s="20">
        <f t="shared" si="20"/>
        <v>19390</v>
      </c>
      <c r="AZ17" s="20">
        <f t="shared" si="21"/>
        <v>0</v>
      </c>
      <c r="BA17" s="20">
        <f t="shared" si="22"/>
        <v>19390</v>
      </c>
      <c r="BB17" s="20">
        <f t="shared" si="23"/>
        <v>38780</v>
      </c>
      <c r="BC17" s="20">
        <f t="shared" si="24"/>
        <v>0</v>
      </c>
      <c r="BD17" s="20">
        <f t="shared" si="25"/>
        <v>0</v>
      </c>
      <c r="BE17" s="20">
        <f t="shared" si="26"/>
        <v>0</v>
      </c>
      <c r="BF17" s="20">
        <f t="shared" si="27"/>
        <v>0</v>
      </c>
      <c r="BG17" s="20">
        <f t="shared" si="28"/>
        <v>12927</v>
      </c>
      <c r="BH17" s="20">
        <f t="shared" si="29"/>
        <v>0</v>
      </c>
      <c r="BI17" s="20">
        <f t="shared" si="30"/>
        <v>12927</v>
      </c>
      <c r="BJ17" s="17" t="s">
        <v>909</v>
      </c>
      <c r="BK17" s="17" t="s">
        <v>475</v>
      </c>
      <c r="BL17" s="17" t="s">
        <v>476</v>
      </c>
      <c r="BM17" s="41">
        <f t="shared" si="31"/>
        <v>329629</v>
      </c>
      <c r="BN17" s="37">
        <f t="shared" si="5"/>
        <v>294572</v>
      </c>
    </row>
    <row r="18" spans="1:66" ht="34.5" customHeight="1">
      <c r="A18" s="8" t="s">
        <v>458</v>
      </c>
      <c r="B18" s="8" t="s">
        <v>459</v>
      </c>
      <c r="C18" s="60">
        <v>55</v>
      </c>
      <c r="D18" s="18" t="s">
        <v>481</v>
      </c>
      <c r="E18" s="39">
        <v>12660.53</v>
      </c>
      <c r="F18" s="19">
        <f t="shared" si="0"/>
        <v>1266.0530000000001</v>
      </c>
      <c r="G18" s="19">
        <f t="shared" si="1"/>
        <v>240.55007000000003</v>
      </c>
      <c r="H18" s="19">
        <f t="shared" si="2"/>
        <v>14167.13307</v>
      </c>
      <c r="J18" s="8">
        <f t="shared" si="3"/>
        <v>11</v>
      </c>
      <c r="K18" s="8"/>
      <c r="L18" s="8"/>
      <c r="M18" s="8"/>
      <c r="N18" s="8"/>
      <c r="O18" s="8">
        <v>2</v>
      </c>
      <c r="P18" s="8">
        <v>3</v>
      </c>
      <c r="Q18" s="8"/>
      <c r="R18" s="8"/>
      <c r="S18" s="8">
        <v>3</v>
      </c>
      <c r="T18" s="8"/>
      <c r="U18" s="8"/>
      <c r="V18" s="8"/>
      <c r="W18" s="8"/>
      <c r="X18" s="8"/>
      <c r="Y18" s="8"/>
      <c r="Z18" s="8"/>
      <c r="AA18" s="8">
        <v>3</v>
      </c>
      <c r="AB18" s="8"/>
      <c r="AC18" s="8"/>
      <c r="AD18" s="8"/>
      <c r="AE18" s="8"/>
      <c r="AF18" s="8"/>
      <c r="AG18" s="8"/>
      <c r="AH18" s="8"/>
      <c r="AI18" s="8"/>
      <c r="AK18" s="20">
        <f t="shared" si="6"/>
        <v>0</v>
      </c>
      <c r="AL18" s="20">
        <f t="shared" si="7"/>
        <v>0</v>
      </c>
      <c r="AM18" s="20">
        <f t="shared" si="8"/>
        <v>0</v>
      </c>
      <c r="AN18" s="20">
        <f t="shared" si="9"/>
        <v>0</v>
      </c>
      <c r="AO18" s="20">
        <f t="shared" si="10"/>
        <v>28334</v>
      </c>
      <c r="AP18" s="20">
        <f t="shared" si="11"/>
        <v>42501</v>
      </c>
      <c r="AQ18" s="20">
        <f t="shared" si="12"/>
        <v>0</v>
      </c>
      <c r="AR18" s="20">
        <f t="shared" si="13"/>
        <v>0</v>
      </c>
      <c r="AS18" s="20">
        <f t="shared" si="14"/>
        <v>42501</v>
      </c>
      <c r="AT18" s="20">
        <f t="shared" si="15"/>
        <v>0</v>
      </c>
      <c r="AU18" s="20">
        <f t="shared" si="16"/>
        <v>0</v>
      </c>
      <c r="AV18" s="20">
        <f t="shared" si="17"/>
        <v>0</v>
      </c>
      <c r="AW18" s="20">
        <f t="shared" si="18"/>
        <v>0</v>
      </c>
      <c r="AX18" s="20">
        <f t="shared" si="19"/>
        <v>0</v>
      </c>
      <c r="AY18" s="20">
        <f t="shared" si="20"/>
        <v>0</v>
      </c>
      <c r="AZ18" s="20">
        <f t="shared" si="21"/>
        <v>0</v>
      </c>
      <c r="BA18" s="20">
        <f t="shared" si="22"/>
        <v>42501</v>
      </c>
      <c r="BB18" s="20">
        <f t="shared" si="23"/>
        <v>0</v>
      </c>
      <c r="BC18" s="20">
        <f t="shared" si="24"/>
        <v>0</v>
      </c>
      <c r="BD18" s="20">
        <f t="shared" si="25"/>
        <v>0</v>
      </c>
      <c r="BE18" s="20">
        <f t="shared" si="26"/>
        <v>0</v>
      </c>
      <c r="BF18" s="20">
        <f t="shared" si="27"/>
        <v>0</v>
      </c>
      <c r="BG18" s="20">
        <f t="shared" si="28"/>
        <v>0</v>
      </c>
      <c r="BH18" s="20">
        <f t="shared" si="29"/>
        <v>0</v>
      </c>
      <c r="BI18" s="20">
        <f t="shared" si="30"/>
        <v>0</v>
      </c>
      <c r="BJ18" s="17" t="s">
        <v>904</v>
      </c>
      <c r="BK18" s="17" t="s">
        <v>458</v>
      </c>
      <c r="BL18" s="17" t="s">
        <v>459</v>
      </c>
      <c r="BM18" s="41">
        <f t="shared" si="31"/>
        <v>155837</v>
      </c>
      <c r="BN18" s="37">
        <f t="shared" si="5"/>
        <v>139266</v>
      </c>
    </row>
    <row r="19" spans="1:66" ht="34.5" customHeight="1">
      <c r="A19" s="8" t="s">
        <v>482</v>
      </c>
      <c r="B19" s="8" t="s">
        <v>483</v>
      </c>
      <c r="C19" s="60">
        <v>60</v>
      </c>
      <c r="D19" s="18" t="s">
        <v>484</v>
      </c>
      <c r="E19" s="39">
        <v>4686.72</v>
      </c>
      <c r="F19" s="19">
        <f t="shared" si="0"/>
        <v>468.67200000000003</v>
      </c>
      <c r="G19" s="19">
        <f t="shared" si="1"/>
        <v>89.04768</v>
      </c>
      <c r="H19" s="19">
        <f t="shared" si="2"/>
        <v>5244.4396799999995</v>
      </c>
      <c r="J19" s="8">
        <f t="shared" si="3"/>
        <v>84</v>
      </c>
      <c r="K19" s="8">
        <v>36</v>
      </c>
      <c r="L19" s="8">
        <v>3</v>
      </c>
      <c r="M19" s="8">
        <v>3</v>
      </c>
      <c r="N19" s="8"/>
      <c r="O19" s="8"/>
      <c r="P19" s="8"/>
      <c r="Q19" s="8">
        <v>6</v>
      </c>
      <c r="R19" s="8"/>
      <c r="S19" s="8">
        <v>2</v>
      </c>
      <c r="T19" s="8">
        <v>3</v>
      </c>
      <c r="U19" s="8">
        <v>3</v>
      </c>
      <c r="V19" s="8">
        <v>3</v>
      </c>
      <c r="W19" s="8">
        <v>3</v>
      </c>
      <c r="X19" s="8"/>
      <c r="Y19" s="8">
        <v>3</v>
      </c>
      <c r="Z19" s="8"/>
      <c r="AA19" s="8">
        <v>3</v>
      </c>
      <c r="AB19" s="8">
        <v>6</v>
      </c>
      <c r="AC19" s="8"/>
      <c r="AD19" s="8">
        <v>6</v>
      </c>
      <c r="AE19" s="8"/>
      <c r="AF19" s="8"/>
      <c r="AG19" s="8">
        <v>2</v>
      </c>
      <c r="AH19" s="8"/>
      <c r="AI19" s="8">
        <v>2</v>
      </c>
      <c r="AK19" s="20">
        <f t="shared" si="6"/>
        <v>188800</v>
      </c>
      <c r="AL19" s="20">
        <f t="shared" si="7"/>
        <v>15733</v>
      </c>
      <c r="AM19" s="20">
        <f t="shared" si="8"/>
        <v>15733</v>
      </c>
      <c r="AN19" s="20">
        <f t="shared" si="9"/>
        <v>0</v>
      </c>
      <c r="AO19" s="20">
        <f t="shared" si="10"/>
        <v>0</v>
      </c>
      <c r="AP19" s="20">
        <f t="shared" si="11"/>
        <v>0</v>
      </c>
      <c r="AQ19" s="20">
        <f t="shared" si="12"/>
        <v>31467</v>
      </c>
      <c r="AR19" s="20">
        <f t="shared" si="13"/>
        <v>0</v>
      </c>
      <c r="AS19" s="20">
        <f t="shared" si="14"/>
        <v>10489</v>
      </c>
      <c r="AT19" s="20">
        <f t="shared" si="15"/>
        <v>15733</v>
      </c>
      <c r="AU19" s="20">
        <f t="shared" si="16"/>
        <v>15733</v>
      </c>
      <c r="AV19" s="20">
        <f t="shared" si="17"/>
        <v>15733</v>
      </c>
      <c r="AW19" s="20">
        <f t="shared" si="18"/>
        <v>15733</v>
      </c>
      <c r="AX19" s="20">
        <f t="shared" si="19"/>
        <v>0</v>
      </c>
      <c r="AY19" s="20">
        <f t="shared" si="20"/>
        <v>15733</v>
      </c>
      <c r="AZ19" s="20">
        <f t="shared" si="21"/>
        <v>0</v>
      </c>
      <c r="BA19" s="20">
        <f t="shared" si="22"/>
        <v>15733</v>
      </c>
      <c r="BB19" s="20">
        <f t="shared" si="23"/>
        <v>31467</v>
      </c>
      <c r="BC19" s="20">
        <f t="shared" si="24"/>
        <v>0</v>
      </c>
      <c r="BD19" s="20">
        <f t="shared" si="25"/>
        <v>31467</v>
      </c>
      <c r="BE19" s="20">
        <f t="shared" si="26"/>
        <v>0</v>
      </c>
      <c r="BF19" s="20">
        <f t="shared" si="27"/>
        <v>0</v>
      </c>
      <c r="BG19" s="20">
        <f t="shared" si="28"/>
        <v>10489</v>
      </c>
      <c r="BH19" s="20">
        <f t="shared" si="29"/>
        <v>0</v>
      </c>
      <c r="BI19" s="20">
        <f t="shared" si="30"/>
        <v>10489</v>
      </c>
      <c r="BJ19" s="17" t="s">
        <v>910</v>
      </c>
      <c r="BK19" s="17" t="s">
        <v>482</v>
      </c>
      <c r="BL19" s="17" t="s">
        <v>483</v>
      </c>
      <c r="BM19" s="41">
        <f t="shared" si="31"/>
        <v>440532</v>
      </c>
      <c r="BN19" s="37">
        <f t="shared" si="5"/>
        <v>393684</v>
      </c>
    </row>
    <row r="20" spans="1:66" ht="34.5" customHeight="1">
      <c r="A20" s="8" t="s">
        <v>482</v>
      </c>
      <c r="B20" s="8" t="s">
        <v>483</v>
      </c>
      <c r="C20" s="60">
        <v>61</v>
      </c>
      <c r="D20" s="18" t="s">
        <v>485</v>
      </c>
      <c r="E20" s="39">
        <v>6251.3</v>
      </c>
      <c r="F20" s="19">
        <f t="shared" si="0"/>
        <v>625.13000000000011</v>
      </c>
      <c r="G20" s="19">
        <f t="shared" si="1"/>
        <v>118.77470000000002</v>
      </c>
      <c r="H20" s="19">
        <f t="shared" si="2"/>
        <v>6995.2047000000002</v>
      </c>
      <c r="J20" s="8">
        <f t="shared" si="3"/>
        <v>49</v>
      </c>
      <c r="K20" s="8">
        <v>10</v>
      </c>
      <c r="L20" s="8"/>
      <c r="M20" s="8">
        <v>2</v>
      </c>
      <c r="N20" s="8"/>
      <c r="O20" s="8"/>
      <c r="P20" s="8"/>
      <c r="Q20" s="8"/>
      <c r="R20" s="8"/>
      <c r="S20" s="8">
        <v>2</v>
      </c>
      <c r="T20" s="8">
        <v>2</v>
      </c>
      <c r="U20" s="8">
        <v>2</v>
      </c>
      <c r="V20" s="8">
        <v>6</v>
      </c>
      <c r="W20" s="8">
        <v>2</v>
      </c>
      <c r="X20" s="8">
        <v>2</v>
      </c>
      <c r="Y20" s="8">
        <v>2</v>
      </c>
      <c r="Z20" s="8">
        <v>2</v>
      </c>
      <c r="AA20" s="8">
        <v>2</v>
      </c>
      <c r="AB20" s="8"/>
      <c r="AC20" s="8"/>
      <c r="AD20" s="8">
        <v>15</v>
      </c>
      <c r="AE20" s="8"/>
      <c r="AF20" s="8"/>
      <c r="AG20" s="8"/>
      <c r="AH20" s="8"/>
      <c r="AI20" s="8"/>
      <c r="AK20" s="20">
        <f t="shared" si="6"/>
        <v>69952</v>
      </c>
      <c r="AL20" s="20">
        <f t="shared" si="7"/>
        <v>0</v>
      </c>
      <c r="AM20" s="20">
        <f t="shared" si="8"/>
        <v>13990</v>
      </c>
      <c r="AN20" s="20">
        <f t="shared" si="9"/>
        <v>0</v>
      </c>
      <c r="AO20" s="20">
        <f t="shared" si="10"/>
        <v>0</v>
      </c>
      <c r="AP20" s="20">
        <f t="shared" si="11"/>
        <v>0</v>
      </c>
      <c r="AQ20" s="20">
        <f t="shared" si="12"/>
        <v>0</v>
      </c>
      <c r="AR20" s="20">
        <f t="shared" si="13"/>
        <v>0</v>
      </c>
      <c r="AS20" s="20">
        <f t="shared" si="14"/>
        <v>13990</v>
      </c>
      <c r="AT20" s="20">
        <f t="shared" si="15"/>
        <v>13990</v>
      </c>
      <c r="AU20" s="20">
        <f t="shared" si="16"/>
        <v>13990</v>
      </c>
      <c r="AV20" s="20">
        <f t="shared" si="17"/>
        <v>41971</v>
      </c>
      <c r="AW20" s="20">
        <f t="shared" si="18"/>
        <v>13990</v>
      </c>
      <c r="AX20" s="20">
        <f t="shared" si="19"/>
        <v>13990</v>
      </c>
      <c r="AY20" s="20">
        <f t="shared" si="20"/>
        <v>13990</v>
      </c>
      <c r="AZ20" s="20">
        <f t="shared" si="21"/>
        <v>13990</v>
      </c>
      <c r="BA20" s="20">
        <f t="shared" si="22"/>
        <v>13990</v>
      </c>
      <c r="BB20" s="20">
        <f t="shared" si="23"/>
        <v>0</v>
      </c>
      <c r="BC20" s="20">
        <f t="shared" si="24"/>
        <v>0</v>
      </c>
      <c r="BD20" s="20">
        <f t="shared" si="25"/>
        <v>104928</v>
      </c>
      <c r="BE20" s="20">
        <f t="shared" si="26"/>
        <v>0</v>
      </c>
      <c r="BF20" s="20">
        <f t="shared" si="27"/>
        <v>0</v>
      </c>
      <c r="BG20" s="20">
        <f t="shared" si="28"/>
        <v>0</v>
      </c>
      <c r="BH20" s="20">
        <f t="shared" si="29"/>
        <v>0</v>
      </c>
      <c r="BI20" s="20">
        <f t="shared" si="30"/>
        <v>0</v>
      </c>
      <c r="BJ20" s="17" t="s">
        <v>910</v>
      </c>
      <c r="BK20" s="17" t="s">
        <v>482</v>
      </c>
      <c r="BL20" s="17" t="s">
        <v>483</v>
      </c>
      <c r="BM20" s="41">
        <f t="shared" si="31"/>
        <v>342761</v>
      </c>
      <c r="BN20" s="37">
        <f t="shared" si="5"/>
        <v>306314</v>
      </c>
    </row>
    <row r="21" spans="1:66" ht="45">
      <c r="A21" s="8" t="s">
        <v>486</v>
      </c>
      <c r="B21" s="8" t="s">
        <v>487</v>
      </c>
      <c r="C21" s="60">
        <v>62</v>
      </c>
      <c r="D21" s="18" t="s">
        <v>488</v>
      </c>
      <c r="E21" s="39">
        <v>7886.67</v>
      </c>
      <c r="F21" s="19">
        <f t="shared" si="0"/>
        <v>788.66700000000003</v>
      </c>
      <c r="G21" s="19">
        <f t="shared" si="1"/>
        <v>149.84673000000001</v>
      </c>
      <c r="H21" s="19">
        <f t="shared" si="2"/>
        <v>8825.1837299999988</v>
      </c>
      <c r="J21" s="8">
        <f t="shared" si="3"/>
        <v>5</v>
      </c>
      <c r="K21" s="8">
        <v>5</v>
      </c>
      <c r="L21" s="8"/>
      <c r="M21" s="8"/>
      <c r="N21" s="8"/>
      <c r="O21" s="8"/>
      <c r="P21" s="8"/>
      <c r="Q21" s="8"/>
      <c r="R21" s="8"/>
      <c r="S21" s="8"/>
      <c r="T21" s="8"/>
      <c r="U21" s="8"/>
      <c r="V21" s="8"/>
      <c r="W21" s="8"/>
      <c r="X21" s="8"/>
      <c r="Y21" s="8"/>
      <c r="Z21" s="8"/>
      <c r="AA21" s="8"/>
      <c r="AB21" s="8"/>
      <c r="AC21" s="8"/>
      <c r="AD21" s="8"/>
      <c r="AE21" s="8"/>
      <c r="AF21" s="8"/>
      <c r="AG21" s="8"/>
      <c r="AH21" s="8"/>
      <c r="AI21" s="8"/>
      <c r="AK21" s="215">
        <v>0</v>
      </c>
      <c r="AL21" s="20">
        <f t="shared" si="7"/>
        <v>0</v>
      </c>
      <c r="AM21" s="20">
        <f t="shared" si="8"/>
        <v>0</v>
      </c>
      <c r="AN21" s="20">
        <f t="shared" si="9"/>
        <v>0</v>
      </c>
      <c r="AO21" s="20">
        <f t="shared" si="10"/>
        <v>0</v>
      </c>
      <c r="AP21" s="20">
        <f t="shared" si="11"/>
        <v>0</v>
      </c>
      <c r="AQ21" s="20">
        <f t="shared" si="12"/>
        <v>0</v>
      </c>
      <c r="AR21" s="20">
        <f t="shared" si="13"/>
        <v>0</v>
      </c>
      <c r="AS21" s="20">
        <f t="shared" si="14"/>
        <v>0</v>
      </c>
      <c r="AT21" s="20">
        <f t="shared" si="15"/>
        <v>0</v>
      </c>
      <c r="AU21" s="20">
        <f t="shared" si="16"/>
        <v>0</v>
      </c>
      <c r="AV21" s="20">
        <f t="shared" si="17"/>
        <v>0</v>
      </c>
      <c r="AW21" s="20">
        <f t="shared" si="18"/>
        <v>0</v>
      </c>
      <c r="AX21" s="20">
        <f t="shared" si="19"/>
        <v>0</v>
      </c>
      <c r="AY21" s="20">
        <f t="shared" si="20"/>
        <v>0</v>
      </c>
      <c r="AZ21" s="20">
        <f t="shared" si="21"/>
        <v>0</v>
      </c>
      <c r="BA21" s="20">
        <f t="shared" si="22"/>
        <v>0</v>
      </c>
      <c r="BB21" s="20">
        <f t="shared" si="23"/>
        <v>0</v>
      </c>
      <c r="BC21" s="20">
        <f t="shared" si="24"/>
        <v>0</v>
      </c>
      <c r="BD21" s="20">
        <f t="shared" si="25"/>
        <v>0</v>
      </c>
      <c r="BE21" s="20">
        <f t="shared" si="26"/>
        <v>0</v>
      </c>
      <c r="BF21" s="20">
        <f t="shared" si="27"/>
        <v>0</v>
      </c>
      <c r="BG21" s="20">
        <f t="shared" si="28"/>
        <v>0</v>
      </c>
      <c r="BH21" s="20">
        <f t="shared" si="29"/>
        <v>0</v>
      </c>
      <c r="BI21" s="20">
        <f t="shared" si="30"/>
        <v>0</v>
      </c>
      <c r="BJ21" s="17" t="s">
        <v>911</v>
      </c>
      <c r="BK21" s="17" t="s">
        <v>486</v>
      </c>
      <c r="BL21" s="17" t="s">
        <v>487</v>
      </c>
      <c r="BM21" s="41">
        <f t="shared" si="31"/>
        <v>0</v>
      </c>
      <c r="BN21" s="37">
        <f t="shared" si="5"/>
        <v>39433</v>
      </c>
    </row>
    <row r="22" spans="1:66" ht="34.5" customHeight="1">
      <c r="A22" s="8" t="s">
        <v>486</v>
      </c>
      <c r="B22" s="8" t="s">
        <v>487</v>
      </c>
      <c r="C22" s="60">
        <v>63</v>
      </c>
      <c r="D22" s="18" t="s">
        <v>489</v>
      </c>
      <c r="E22" s="39">
        <v>8994.5499999999993</v>
      </c>
      <c r="F22" s="19">
        <f t="shared" si="0"/>
        <v>899.45499999999993</v>
      </c>
      <c r="G22" s="19">
        <f t="shared" si="1"/>
        <v>170.89644999999999</v>
      </c>
      <c r="H22" s="19">
        <f t="shared" si="2"/>
        <v>10064.901449999999</v>
      </c>
      <c r="J22" s="8">
        <f t="shared" si="3"/>
        <v>52</v>
      </c>
      <c r="K22" s="8">
        <v>10</v>
      </c>
      <c r="L22" s="8"/>
      <c r="M22" s="8"/>
      <c r="N22" s="8"/>
      <c r="O22" s="8"/>
      <c r="P22" s="8"/>
      <c r="Q22" s="8"/>
      <c r="R22" s="8"/>
      <c r="S22" s="8"/>
      <c r="T22" s="8"/>
      <c r="U22" s="8"/>
      <c r="V22" s="8"/>
      <c r="W22" s="8">
        <v>3</v>
      </c>
      <c r="X22" s="8"/>
      <c r="Y22" s="8">
        <v>3</v>
      </c>
      <c r="Z22" s="8"/>
      <c r="AA22" s="8"/>
      <c r="AB22" s="8"/>
      <c r="AC22" s="8"/>
      <c r="AD22" s="8"/>
      <c r="AE22" s="8"/>
      <c r="AF22" s="8">
        <v>9</v>
      </c>
      <c r="AG22" s="8"/>
      <c r="AH22" s="8">
        <v>25</v>
      </c>
      <c r="AI22" s="8">
        <v>2</v>
      </c>
      <c r="AK22" s="215">
        <v>47967</v>
      </c>
      <c r="AL22" s="20">
        <f t="shared" si="7"/>
        <v>0</v>
      </c>
      <c r="AM22" s="20">
        <f t="shared" si="8"/>
        <v>0</v>
      </c>
      <c r="AN22" s="20">
        <f t="shared" si="9"/>
        <v>0</v>
      </c>
      <c r="AO22" s="20">
        <f t="shared" si="10"/>
        <v>0</v>
      </c>
      <c r="AP22" s="20">
        <f t="shared" si="11"/>
        <v>0</v>
      </c>
      <c r="AQ22" s="20">
        <f t="shared" si="12"/>
        <v>0</v>
      </c>
      <c r="AR22" s="20">
        <f t="shared" si="13"/>
        <v>0</v>
      </c>
      <c r="AS22" s="20">
        <f t="shared" si="14"/>
        <v>0</v>
      </c>
      <c r="AT22" s="20">
        <f t="shared" si="15"/>
        <v>0</v>
      </c>
      <c r="AU22" s="20">
        <f t="shared" si="16"/>
        <v>0</v>
      </c>
      <c r="AV22" s="20">
        <f t="shared" si="17"/>
        <v>0</v>
      </c>
      <c r="AW22" s="215">
        <v>0</v>
      </c>
      <c r="AX22" s="20">
        <f t="shared" si="19"/>
        <v>0</v>
      </c>
      <c r="AY22" s="215">
        <v>0</v>
      </c>
      <c r="AZ22" s="20">
        <f t="shared" si="21"/>
        <v>0</v>
      </c>
      <c r="BA22" s="20">
        <f t="shared" si="22"/>
        <v>0</v>
      </c>
      <c r="BB22" s="20">
        <f t="shared" si="23"/>
        <v>0</v>
      </c>
      <c r="BC22" s="20">
        <f t="shared" si="24"/>
        <v>0</v>
      </c>
      <c r="BD22" s="20">
        <f t="shared" si="25"/>
        <v>0</v>
      </c>
      <c r="BE22" s="20">
        <f t="shared" si="26"/>
        <v>0</v>
      </c>
      <c r="BF22" s="215">
        <v>0</v>
      </c>
      <c r="BG22" s="20">
        <f t="shared" si="28"/>
        <v>0</v>
      </c>
      <c r="BH22" s="215">
        <v>0</v>
      </c>
      <c r="BI22" s="215">
        <v>0</v>
      </c>
      <c r="BJ22" s="17" t="s">
        <v>911</v>
      </c>
      <c r="BK22" s="17" t="s">
        <v>486</v>
      </c>
      <c r="BL22" s="17" t="s">
        <v>487</v>
      </c>
      <c r="BM22" s="41">
        <f t="shared" si="31"/>
        <v>47967</v>
      </c>
      <c r="BN22" s="37">
        <f t="shared" si="5"/>
        <v>467717</v>
      </c>
    </row>
    <row r="23" spans="1:66" ht="34.5" customHeight="1">
      <c r="A23" s="8" t="s">
        <v>490</v>
      </c>
      <c r="B23" s="8" t="s">
        <v>491</v>
      </c>
      <c r="C23" s="60">
        <v>64</v>
      </c>
      <c r="D23" s="18" t="s">
        <v>492</v>
      </c>
      <c r="E23" s="39">
        <v>1038.17</v>
      </c>
      <c r="F23" s="19">
        <f t="shared" si="0"/>
        <v>103.81700000000001</v>
      </c>
      <c r="G23" s="19">
        <f t="shared" si="1"/>
        <v>19.725230000000003</v>
      </c>
      <c r="H23" s="19">
        <f t="shared" si="2"/>
        <v>1161.7122300000001</v>
      </c>
      <c r="J23" s="8">
        <f t="shared" si="3"/>
        <v>73</v>
      </c>
      <c r="K23" s="8">
        <v>30</v>
      </c>
      <c r="L23" s="8">
        <v>4</v>
      </c>
      <c r="M23" s="8"/>
      <c r="N23" s="8"/>
      <c r="O23" s="8"/>
      <c r="P23" s="8">
        <v>4</v>
      </c>
      <c r="Q23" s="8">
        <v>4</v>
      </c>
      <c r="R23" s="8"/>
      <c r="S23" s="8">
        <v>4</v>
      </c>
      <c r="T23" s="8">
        <v>4</v>
      </c>
      <c r="U23" s="8">
        <v>4</v>
      </c>
      <c r="V23" s="8">
        <v>4</v>
      </c>
      <c r="W23" s="8">
        <v>2</v>
      </c>
      <c r="X23" s="8"/>
      <c r="Y23" s="8">
        <v>4</v>
      </c>
      <c r="Z23" s="8"/>
      <c r="AA23" s="8">
        <v>4</v>
      </c>
      <c r="AB23" s="8">
        <v>5</v>
      </c>
      <c r="AC23" s="8"/>
      <c r="AD23" s="8"/>
      <c r="AE23" s="8"/>
      <c r="AF23" s="8"/>
      <c r="AG23" s="8"/>
      <c r="AH23" s="8"/>
      <c r="AI23" s="8"/>
      <c r="AK23" s="20">
        <f t="shared" si="6"/>
        <v>34851</v>
      </c>
      <c r="AL23" s="20">
        <f t="shared" si="7"/>
        <v>4647</v>
      </c>
      <c r="AM23" s="20">
        <f t="shared" si="8"/>
        <v>0</v>
      </c>
      <c r="AN23" s="20">
        <f t="shared" si="9"/>
        <v>0</v>
      </c>
      <c r="AO23" s="20">
        <f t="shared" si="10"/>
        <v>0</v>
      </c>
      <c r="AP23" s="20">
        <f t="shared" si="11"/>
        <v>4647</v>
      </c>
      <c r="AQ23" s="20">
        <f t="shared" si="12"/>
        <v>4647</v>
      </c>
      <c r="AR23" s="20">
        <f t="shared" si="13"/>
        <v>0</v>
      </c>
      <c r="AS23" s="20">
        <f t="shared" si="14"/>
        <v>4647</v>
      </c>
      <c r="AT23" s="20">
        <f t="shared" si="15"/>
        <v>4647</v>
      </c>
      <c r="AU23" s="20">
        <f t="shared" si="16"/>
        <v>4647</v>
      </c>
      <c r="AV23" s="20">
        <f t="shared" si="17"/>
        <v>4647</v>
      </c>
      <c r="AW23" s="20">
        <f t="shared" si="18"/>
        <v>2323</v>
      </c>
      <c r="AX23" s="20">
        <f t="shared" si="19"/>
        <v>0</v>
      </c>
      <c r="AY23" s="20">
        <f t="shared" si="20"/>
        <v>4647</v>
      </c>
      <c r="AZ23" s="20">
        <f t="shared" si="21"/>
        <v>0</v>
      </c>
      <c r="BA23" s="20">
        <f t="shared" si="22"/>
        <v>4647</v>
      </c>
      <c r="BB23" s="20">
        <f t="shared" si="23"/>
        <v>5809</v>
      </c>
      <c r="BC23" s="20">
        <f t="shared" si="24"/>
        <v>0</v>
      </c>
      <c r="BD23" s="20">
        <f t="shared" si="25"/>
        <v>0</v>
      </c>
      <c r="BE23" s="20">
        <f t="shared" si="26"/>
        <v>0</v>
      </c>
      <c r="BF23" s="20">
        <f t="shared" si="27"/>
        <v>0</v>
      </c>
      <c r="BG23" s="20">
        <f t="shared" si="28"/>
        <v>0</v>
      </c>
      <c r="BH23" s="20">
        <f t="shared" si="29"/>
        <v>0</v>
      </c>
      <c r="BI23" s="20">
        <f t="shared" si="30"/>
        <v>0</v>
      </c>
      <c r="BJ23" s="17" t="s">
        <v>912</v>
      </c>
      <c r="BK23" s="17" t="s">
        <v>490</v>
      </c>
      <c r="BL23" s="17" t="s">
        <v>491</v>
      </c>
      <c r="BM23" s="41">
        <f t="shared" si="31"/>
        <v>84806</v>
      </c>
      <c r="BN23" s="37">
        <f t="shared" si="5"/>
        <v>75786</v>
      </c>
    </row>
    <row r="24" spans="1:66" ht="34.5" customHeight="1">
      <c r="A24" s="8" t="s">
        <v>490</v>
      </c>
      <c r="B24" s="8" t="s">
        <v>491</v>
      </c>
      <c r="C24" s="60">
        <v>65</v>
      </c>
      <c r="D24" s="18" t="s">
        <v>493</v>
      </c>
      <c r="E24" s="39">
        <v>1282.1600000000001</v>
      </c>
      <c r="F24" s="19">
        <f t="shared" si="0"/>
        <v>128.21600000000001</v>
      </c>
      <c r="G24" s="19">
        <f t="shared" si="1"/>
        <v>24.361040000000003</v>
      </c>
      <c r="H24" s="19">
        <f t="shared" si="2"/>
        <v>1434.7370400000002</v>
      </c>
      <c r="J24" s="8">
        <f t="shared" si="3"/>
        <v>34</v>
      </c>
      <c r="K24" s="8">
        <v>20</v>
      </c>
      <c r="L24" s="8">
        <v>2</v>
      </c>
      <c r="M24" s="8"/>
      <c r="N24" s="8"/>
      <c r="O24" s="8"/>
      <c r="P24" s="8"/>
      <c r="Q24" s="8"/>
      <c r="R24" s="8"/>
      <c r="S24" s="8">
        <v>2</v>
      </c>
      <c r="T24" s="8">
        <v>2</v>
      </c>
      <c r="U24" s="8">
        <v>2</v>
      </c>
      <c r="V24" s="8"/>
      <c r="W24" s="8">
        <v>2</v>
      </c>
      <c r="X24" s="8"/>
      <c r="Y24" s="8">
        <v>2</v>
      </c>
      <c r="Z24" s="8"/>
      <c r="AA24" s="8">
        <v>2</v>
      </c>
      <c r="AB24" s="8"/>
      <c r="AC24" s="8"/>
      <c r="AD24" s="8"/>
      <c r="AE24" s="8"/>
      <c r="AF24" s="8"/>
      <c r="AG24" s="8"/>
      <c r="AH24" s="8"/>
      <c r="AI24" s="8"/>
      <c r="AK24" s="20">
        <f t="shared" si="6"/>
        <v>28695</v>
      </c>
      <c r="AL24" s="20">
        <f t="shared" si="7"/>
        <v>2869</v>
      </c>
      <c r="AM24" s="20">
        <f t="shared" si="8"/>
        <v>0</v>
      </c>
      <c r="AN24" s="20">
        <f t="shared" si="9"/>
        <v>0</v>
      </c>
      <c r="AO24" s="20">
        <f t="shared" si="10"/>
        <v>0</v>
      </c>
      <c r="AP24" s="20">
        <f t="shared" si="11"/>
        <v>0</v>
      </c>
      <c r="AQ24" s="20">
        <f t="shared" si="12"/>
        <v>0</v>
      </c>
      <c r="AR24" s="20">
        <f t="shared" si="13"/>
        <v>0</v>
      </c>
      <c r="AS24" s="20">
        <f t="shared" si="14"/>
        <v>2869</v>
      </c>
      <c r="AT24" s="20">
        <f t="shared" si="15"/>
        <v>2869</v>
      </c>
      <c r="AU24" s="20">
        <f t="shared" si="16"/>
        <v>2869</v>
      </c>
      <c r="AV24" s="20">
        <f t="shared" si="17"/>
        <v>0</v>
      </c>
      <c r="AW24" s="20">
        <f t="shared" si="18"/>
        <v>2869</v>
      </c>
      <c r="AX24" s="20">
        <f t="shared" si="19"/>
        <v>0</v>
      </c>
      <c r="AY24" s="20">
        <f t="shared" si="20"/>
        <v>2869</v>
      </c>
      <c r="AZ24" s="20">
        <f t="shared" si="21"/>
        <v>0</v>
      </c>
      <c r="BA24" s="20">
        <f t="shared" si="22"/>
        <v>2869</v>
      </c>
      <c r="BB24" s="20">
        <f t="shared" si="23"/>
        <v>0</v>
      </c>
      <c r="BC24" s="20">
        <f t="shared" si="24"/>
        <v>0</v>
      </c>
      <c r="BD24" s="20">
        <f t="shared" si="25"/>
        <v>0</v>
      </c>
      <c r="BE24" s="20">
        <f t="shared" si="26"/>
        <v>0</v>
      </c>
      <c r="BF24" s="20">
        <f t="shared" si="27"/>
        <v>0</v>
      </c>
      <c r="BG24" s="20">
        <f t="shared" si="28"/>
        <v>0</v>
      </c>
      <c r="BH24" s="20">
        <f t="shared" si="29"/>
        <v>0</v>
      </c>
      <c r="BI24" s="20">
        <f t="shared" si="30"/>
        <v>0</v>
      </c>
      <c r="BJ24" s="17" t="s">
        <v>912</v>
      </c>
      <c r="BK24" s="17" t="s">
        <v>490</v>
      </c>
      <c r="BL24" s="17" t="s">
        <v>491</v>
      </c>
      <c r="BM24" s="41">
        <f t="shared" si="31"/>
        <v>48778</v>
      </c>
      <c r="BN24" s="37">
        <f t="shared" si="5"/>
        <v>43593</v>
      </c>
    </row>
    <row r="25" spans="1:66" ht="33.75">
      <c r="A25" s="8" t="s">
        <v>490</v>
      </c>
      <c r="B25" s="8" t="s">
        <v>491</v>
      </c>
      <c r="C25" s="60">
        <v>66</v>
      </c>
      <c r="D25" s="18" t="s">
        <v>494</v>
      </c>
      <c r="E25" s="39">
        <v>1282.1600000000001</v>
      </c>
      <c r="F25" s="19">
        <f t="shared" si="0"/>
        <v>128.21600000000001</v>
      </c>
      <c r="G25" s="19">
        <f t="shared" si="1"/>
        <v>24.361040000000003</v>
      </c>
      <c r="H25" s="19">
        <f t="shared" si="2"/>
        <v>1434.7370400000002</v>
      </c>
      <c r="J25" s="8">
        <f t="shared" si="3"/>
        <v>3</v>
      </c>
      <c r="K25" s="8"/>
      <c r="L25" s="8"/>
      <c r="M25" s="8"/>
      <c r="N25" s="8"/>
      <c r="O25" s="8"/>
      <c r="P25" s="8"/>
      <c r="Q25" s="8"/>
      <c r="R25" s="8"/>
      <c r="S25" s="8"/>
      <c r="T25" s="8"/>
      <c r="U25" s="8"/>
      <c r="V25" s="8"/>
      <c r="W25" s="8"/>
      <c r="X25" s="8"/>
      <c r="Y25" s="8"/>
      <c r="Z25" s="8"/>
      <c r="AA25" s="8"/>
      <c r="AB25" s="8"/>
      <c r="AC25" s="8"/>
      <c r="AD25" s="8"/>
      <c r="AE25" s="8"/>
      <c r="AF25" s="8"/>
      <c r="AG25" s="8"/>
      <c r="AH25" s="8"/>
      <c r="AI25" s="8">
        <v>3</v>
      </c>
      <c r="AK25" s="20">
        <f t="shared" si="6"/>
        <v>0</v>
      </c>
      <c r="AL25" s="20">
        <f t="shared" si="7"/>
        <v>0</v>
      </c>
      <c r="AM25" s="20">
        <f t="shared" si="8"/>
        <v>0</v>
      </c>
      <c r="AN25" s="20">
        <f t="shared" si="9"/>
        <v>0</v>
      </c>
      <c r="AO25" s="20">
        <f t="shared" si="10"/>
        <v>0</v>
      </c>
      <c r="AP25" s="20">
        <f t="shared" si="11"/>
        <v>0</v>
      </c>
      <c r="AQ25" s="20">
        <f t="shared" si="12"/>
        <v>0</v>
      </c>
      <c r="AR25" s="20">
        <f t="shared" si="13"/>
        <v>0</v>
      </c>
      <c r="AS25" s="20">
        <f t="shared" si="14"/>
        <v>0</v>
      </c>
      <c r="AT25" s="20">
        <f t="shared" si="15"/>
        <v>0</v>
      </c>
      <c r="AU25" s="20">
        <f t="shared" si="16"/>
        <v>0</v>
      </c>
      <c r="AV25" s="20">
        <f t="shared" si="17"/>
        <v>0</v>
      </c>
      <c r="AW25" s="20">
        <f t="shared" si="18"/>
        <v>0</v>
      </c>
      <c r="AX25" s="20">
        <f t="shared" si="19"/>
        <v>0</v>
      </c>
      <c r="AY25" s="20">
        <f t="shared" si="20"/>
        <v>0</v>
      </c>
      <c r="AZ25" s="20">
        <f t="shared" si="21"/>
        <v>0</v>
      </c>
      <c r="BA25" s="20">
        <f t="shared" si="22"/>
        <v>0</v>
      </c>
      <c r="BB25" s="20">
        <f t="shared" si="23"/>
        <v>0</v>
      </c>
      <c r="BC25" s="20">
        <f t="shared" si="24"/>
        <v>0</v>
      </c>
      <c r="BD25" s="20">
        <f t="shared" si="25"/>
        <v>0</v>
      </c>
      <c r="BE25" s="20">
        <f t="shared" si="26"/>
        <v>0</v>
      </c>
      <c r="BF25" s="20">
        <f t="shared" si="27"/>
        <v>0</v>
      </c>
      <c r="BG25" s="20">
        <f t="shared" si="28"/>
        <v>0</v>
      </c>
      <c r="BH25" s="20">
        <f t="shared" si="29"/>
        <v>0</v>
      </c>
      <c r="BI25" s="20">
        <f t="shared" si="30"/>
        <v>4304</v>
      </c>
      <c r="BJ25" s="17" t="s">
        <v>912</v>
      </c>
      <c r="BK25" s="17" t="s">
        <v>490</v>
      </c>
      <c r="BL25" s="17" t="s">
        <v>491</v>
      </c>
      <c r="BM25" s="41">
        <f t="shared" si="31"/>
        <v>4304</v>
      </c>
      <c r="BN25" s="37">
        <f t="shared" si="5"/>
        <v>3846</v>
      </c>
    </row>
    <row r="26" spans="1:66" ht="33.75">
      <c r="A26" s="8" t="s">
        <v>490</v>
      </c>
      <c r="B26" s="22" t="s">
        <v>491</v>
      </c>
      <c r="C26" s="60">
        <v>67</v>
      </c>
      <c r="D26" s="18" t="s">
        <v>495</v>
      </c>
      <c r="E26" s="40">
        <v>1038.17</v>
      </c>
      <c r="F26" s="19">
        <f t="shared" si="0"/>
        <v>103.81700000000001</v>
      </c>
      <c r="G26" s="19">
        <f t="shared" si="1"/>
        <v>19.725230000000003</v>
      </c>
      <c r="H26" s="19">
        <f t="shared" si="2"/>
        <v>1161.7122300000001</v>
      </c>
      <c r="J26" s="8">
        <f t="shared" si="3"/>
        <v>5</v>
      </c>
      <c r="K26" s="8">
        <v>5</v>
      </c>
      <c r="L26" s="8"/>
      <c r="M26" s="8"/>
      <c r="N26" s="8"/>
      <c r="O26" s="8"/>
      <c r="P26" s="8"/>
      <c r="Q26" s="8"/>
      <c r="R26" s="8"/>
      <c r="S26" s="8"/>
      <c r="T26" s="8"/>
      <c r="U26" s="104"/>
      <c r="V26" s="8"/>
      <c r="W26" s="8"/>
      <c r="X26" s="8"/>
      <c r="Y26" s="8"/>
      <c r="Z26" s="8"/>
      <c r="AA26" s="8"/>
      <c r="AB26" s="8"/>
      <c r="AC26" s="8"/>
      <c r="AD26" s="8"/>
      <c r="AE26" s="8"/>
      <c r="AF26" s="8"/>
      <c r="AG26" s="8"/>
      <c r="AH26" s="8"/>
      <c r="AI26" s="8"/>
      <c r="AK26" s="20">
        <f t="shared" si="6"/>
        <v>5809</v>
      </c>
      <c r="AL26" s="20">
        <f t="shared" si="7"/>
        <v>0</v>
      </c>
      <c r="AM26" s="20">
        <f t="shared" si="8"/>
        <v>0</v>
      </c>
      <c r="AN26" s="20">
        <f t="shared" si="9"/>
        <v>0</v>
      </c>
      <c r="AO26" s="20">
        <f t="shared" si="10"/>
        <v>0</v>
      </c>
      <c r="AP26" s="20">
        <f t="shared" si="11"/>
        <v>0</v>
      </c>
      <c r="AQ26" s="20">
        <f t="shared" si="12"/>
        <v>0</v>
      </c>
      <c r="AR26" s="20">
        <f t="shared" si="13"/>
        <v>0</v>
      </c>
      <c r="AS26" s="20">
        <f t="shared" si="14"/>
        <v>0</v>
      </c>
      <c r="AT26" s="20">
        <f t="shared" si="15"/>
        <v>0</v>
      </c>
      <c r="AU26" s="20">
        <f t="shared" si="16"/>
        <v>0</v>
      </c>
      <c r="AV26" s="20">
        <f t="shared" si="17"/>
        <v>0</v>
      </c>
      <c r="AW26" s="20">
        <f t="shared" si="18"/>
        <v>0</v>
      </c>
      <c r="AX26" s="20">
        <f t="shared" si="19"/>
        <v>0</v>
      </c>
      <c r="AY26" s="20">
        <f t="shared" si="20"/>
        <v>0</v>
      </c>
      <c r="AZ26" s="20">
        <f t="shared" si="21"/>
        <v>0</v>
      </c>
      <c r="BA26" s="20">
        <f t="shared" si="22"/>
        <v>0</v>
      </c>
      <c r="BB26" s="20">
        <f t="shared" si="23"/>
        <v>0</v>
      </c>
      <c r="BC26" s="20">
        <f t="shared" si="24"/>
        <v>0</v>
      </c>
      <c r="BD26" s="20">
        <f t="shared" si="25"/>
        <v>0</v>
      </c>
      <c r="BE26" s="20">
        <f t="shared" si="26"/>
        <v>0</v>
      </c>
      <c r="BF26" s="20">
        <f t="shared" si="27"/>
        <v>0</v>
      </c>
      <c r="BG26" s="20">
        <f t="shared" si="28"/>
        <v>0</v>
      </c>
      <c r="BH26" s="20">
        <f t="shared" si="29"/>
        <v>0</v>
      </c>
      <c r="BI26" s="20">
        <f t="shared" si="30"/>
        <v>0</v>
      </c>
      <c r="BJ26" s="23" t="s">
        <v>912</v>
      </c>
      <c r="BK26" s="17" t="s">
        <v>490</v>
      </c>
      <c r="BL26" s="23" t="s">
        <v>491</v>
      </c>
      <c r="BM26" s="41">
        <f t="shared" si="31"/>
        <v>5809</v>
      </c>
      <c r="BN26" s="37">
        <f t="shared" si="5"/>
        <v>5191</v>
      </c>
    </row>
    <row r="27" spans="1:66" ht="33.75">
      <c r="A27" s="8" t="s">
        <v>490</v>
      </c>
      <c r="B27" s="22" t="s">
        <v>491</v>
      </c>
      <c r="C27" s="60">
        <v>68</v>
      </c>
      <c r="D27" s="18" t="s">
        <v>496</v>
      </c>
      <c r="E27" s="40">
        <v>1038.17</v>
      </c>
      <c r="F27" s="19">
        <f t="shared" si="0"/>
        <v>103.81700000000001</v>
      </c>
      <c r="G27" s="19">
        <f t="shared" si="1"/>
        <v>19.725230000000003</v>
      </c>
      <c r="H27" s="19">
        <f t="shared" si="2"/>
        <v>1161.7122300000001</v>
      </c>
      <c r="J27" s="8">
        <f t="shared" si="3"/>
        <v>0</v>
      </c>
      <c r="K27" s="8"/>
      <c r="L27" s="8"/>
      <c r="M27" s="8"/>
      <c r="N27" s="8"/>
      <c r="O27" s="8"/>
      <c r="P27" s="8"/>
      <c r="Q27" s="8"/>
      <c r="R27" s="8"/>
      <c r="S27" s="8"/>
      <c r="T27" s="8"/>
      <c r="U27" s="8"/>
      <c r="V27" s="8"/>
      <c r="W27" s="8"/>
      <c r="X27" s="8"/>
      <c r="Y27" s="8"/>
      <c r="Z27" s="8"/>
      <c r="AA27" s="8"/>
      <c r="AB27" s="8"/>
      <c r="AC27" s="8"/>
      <c r="AD27" s="8"/>
      <c r="AE27" s="8"/>
      <c r="AF27" s="8"/>
      <c r="AG27" s="8"/>
      <c r="AH27" s="8"/>
      <c r="AI27" s="8"/>
      <c r="AK27" s="20">
        <f t="shared" si="6"/>
        <v>0</v>
      </c>
      <c r="AL27" s="20">
        <f t="shared" si="7"/>
        <v>0</v>
      </c>
      <c r="AM27" s="20">
        <f t="shared" si="8"/>
        <v>0</v>
      </c>
      <c r="AN27" s="20">
        <f t="shared" si="9"/>
        <v>0</v>
      </c>
      <c r="AO27" s="20">
        <f t="shared" si="10"/>
        <v>0</v>
      </c>
      <c r="AP27" s="20">
        <f t="shared" si="11"/>
        <v>0</v>
      </c>
      <c r="AQ27" s="20">
        <f t="shared" si="12"/>
        <v>0</v>
      </c>
      <c r="AR27" s="20">
        <f t="shared" si="13"/>
        <v>0</v>
      </c>
      <c r="AS27" s="20">
        <f t="shared" si="14"/>
        <v>0</v>
      </c>
      <c r="AT27" s="20">
        <f t="shared" si="15"/>
        <v>0</v>
      </c>
      <c r="AU27" s="20">
        <f t="shared" si="16"/>
        <v>0</v>
      </c>
      <c r="AV27" s="20">
        <f t="shared" si="17"/>
        <v>0</v>
      </c>
      <c r="AW27" s="20">
        <f t="shared" si="18"/>
        <v>0</v>
      </c>
      <c r="AX27" s="20">
        <f t="shared" si="19"/>
        <v>0</v>
      </c>
      <c r="AY27" s="20">
        <f t="shared" si="20"/>
        <v>0</v>
      </c>
      <c r="AZ27" s="20">
        <f t="shared" si="21"/>
        <v>0</v>
      </c>
      <c r="BA27" s="20">
        <f t="shared" si="22"/>
        <v>0</v>
      </c>
      <c r="BB27" s="20">
        <f t="shared" si="23"/>
        <v>0</v>
      </c>
      <c r="BC27" s="20">
        <f t="shared" si="24"/>
        <v>0</v>
      </c>
      <c r="BD27" s="20">
        <f t="shared" si="25"/>
        <v>0</v>
      </c>
      <c r="BE27" s="20">
        <f t="shared" si="26"/>
        <v>0</v>
      </c>
      <c r="BF27" s="20">
        <f t="shared" si="27"/>
        <v>0</v>
      </c>
      <c r="BG27" s="20">
        <f t="shared" si="28"/>
        <v>0</v>
      </c>
      <c r="BH27" s="20">
        <f t="shared" si="29"/>
        <v>0</v>
      </c>
      <c r="BI27" s="20">
        <f t="shared" si="30"/>
        <v>0</v>
      </c>
      <c r="BJ27" s="23" t="s">
        <v>912</v>
      </c>
      <c r="BK27" s="17" t="s">
        <v>490</v>
      </c>
      <c r="BL27" s="23" t="s">
        <v>491</v>
      </c>
      <c r="BM27" s="41">
        <f t="shared" si="31"/>
        <v>0</v>
      </c>
      <c r="BN27" s="37">
        <f t="shared" si="5"/>
        <v>0</v>
      </c>
    </row>
    <row r="28" spans="1:66" ht="33.75">
      <c r="A28" s="8" t="s">
        <v>490</v>
      </c>
      <c r="B28" s="22" t="s">
        <v>491</v>
      </c>
      <c r="C28" s="60">
        <v>69</v>
      </c>
      <c r="D28" s="18" t="s">
        <v>497</v>
      </c>
      <c r="E28" s="40">
        <v>1202.02</v>
      </c>
      <c r="F28" s="19">
        <f t="shared" si="0"/>
        <v>120.202</v>
      </c>
      <c r="G28" s="19">
        <f t="shared" si="1"/>
        <v>22.838380000000001</v>
      </c>
      <c r="H28" s="19">
        <f t="shared" si="2"/>
        <v>1345.0603799999999</v>
      </c>
      <c r="J28" s="8">
        <f t="shared" si="3"/>
        <v>83</v>
      </c>
      <c r="K28" s="8">
        <v>30</v>
      </c>
      <c r="L28" s="8">
        <v>8</v>
      </c>
      <c r="M28" s="8">
        <v>1</v>
      </c>
      <c r="N28" s="8"/>
      <c r="O28" s="8">
        <v>12</v>
      </c>
      <c r="P28" s="8">
        <v>8</v>
      </c>
      <c r="Q28" s="8"/>
      <c r="R28" s="8"/>
      <c r="S28" s="8">
        <v>2</v>
      </c>
      <c r="T28" s="8"/>
      <c r="U28" s="8">
        <v>8</v>
      </c>
      <c r="V28" s="8"/>
      <c r="W28" s="8">
        <v>4</v>
      </c>
      <c r="X28" s="8"/>
      <c r="Y28" s="8">
        <v>4</v>
      </c>
      <c r="Z28" s="8"/>
      <c r="AA28" s="8">
        <v>4</v>
      </c>
      <c r="AB28" s="8"/>
      <c r="AC28" s="8"/>
      <c r="AD28" s="8"/>
      <c r="AE28" s="8"/>
      <c r="AF28" s="8"/>
      <c r="AG28" s="8">
        <v>2</v>
      </c>
      <c r="AH28" s="8"/>
      <c r="AI28" s="8"/>
      <c r="AK28" s="20">
        <f t="shared" si="6"/>
        <v>40352</v>
      </c>
      <c r="AL28" s="20">
        <f t="shared" si="7"/>
        <v>10760</v>
      </c>
      <c r="AM28" s="20">
        <f t="shared" si="8"/>
        <v>1345</v>
      </c>
      <c r="AN28" s="20">
        <f t="shared" si="9"/>
        <v>0</v>
      </c>
      <c r="AO28" s="20">
        <f t="shared" si="10"/>
        <v>16141</v>
      </c>
      <c r="AP28" s="20">
        <f t="shared" si="11"/>
        <v>10760</v>
      </c>
      <c r="AQ28" s="20">
        <f t="shared" si="12"/>
        <v>0</v>
      </c>
      <c r="AR28" s="20">
        <f t="shared" si="13"/>
        <v>0</v>
      </c>
      <c r="AS28" s="20">
        <f t="shared" si="14"/>
        <v>2690</v>
      </c>
      <c r="AT28" s="20">
        <f t="shared" si="15"/>
        <v>0</v>
      </c>
      <c r="AU28" s="20">
        <f t="shared" si="16"/>
        <v>10760</v>
      </c>
      <c r="AV28" s="20">
        <f t="shared" si="17"/>
        <v>0</v>
      </c>
      <c r="AW28" s="20">
        <f t="shared" si="18"/>
        <v>5380</v>
      </c>
      <c r="AX28" s="20">
        <f t="shared" si="19"/>
        <v>0</v>
      </c>
      <c r="AY28" s="20">
        <f t="shared" si="20"/>
        <v>5380</v>
      </c>
      <c r="AZ28" s="20">
        <f t="shared" si="21"/>
        <v>0</v>
      </c>
      <c r="BA28" s="20">
        <f t="shared" si="22"/>
        <v>5380</v>
      </c>
      <c r="BB28" s="20">
        <f t="shared" si="23"/>
        <v>0</v>
      </c>
      <c r="BC28" s="20">
        <f t="shared" si="24"/>
        <v>0</v>
      </c>
      <c r="BD28" s="20">
        <f t="shared" si="25"/>
        <v>0</v>
      </c>
      <c r="BE28" s="20">
        <f t="shared" si="26"/>
        <v>0</v>
      </c>
      <c r="BF28" s="20">
        <f t="shared" si="27"/>
        <v>0</v>
      </c>
      <c r="BG28" s="20">
        <f t="shared" si="28"/>
        <v>2690</v>
      </c>
      <c r="BH28" s="20">
        <f t="shared" si="29"/>
        <v>0</v>
      </c>
      <c r="BI28" s="20">
        <f t="shared" si="30"/>
        <v>0</v>
      </c>
      <c r="BJ28" s="23" t="s">
        <v>912</v>
      </c>
      <c r="BK28" s="17" t="s">
        <v>490</v>
      </c>
      <c r="BL28" s="23" t="s">
        <v>491</v>
      </c>
      <c r="BM28" s="41">
        <f t="shared" si="31"/>
        <v>111638</v>
      </c>
      <c r="BN28" s="37">
        <f t="shared" si="5"/>
        <v>99768</v>
      </c>
    </row>
    <row r="29" spans="1:66" ht="34.5" customHeight="1">
      <c r="A29" s="8" t="s">
        <v>490</v>
      </c>
      <c r="B29" s="22" t="s">
        <v>491</v>
      </c>
      <c r="C29" s="60">
        <v>70</v>
      </c>
      <c r="D29" s="18" t="s">
        <v>498</v>
      </c>
      <c r="E29" s="40">
        <v>1282.1600000000001</v>
      </c>
      <c r="F29" s="19">
        <f t="shared" si="0"/>
        <v>128.21600000000001</v>
      </c>
      <c r="G29" s="19">
        <f t="shared" si="1"/>
        <v>24.361040000000003</v>
      </c>
      <c r="H29" s="19">
        <f t="shared" si="2"/>
        <v>1434.7370400000002</v>
      </c>
      <c r="J29" s="8">
        <f t="shared" si="3"/>
        <v>39</v>
      </c>
      <c r="K29" s="8">
        <v>15</v>
      </c>
      <c r="L29" s="8">
        <v>5</v>
      </c>
      <c r="M29" s="8">
        <v>1</v>
      </c>
      <c r="N29" s="8"/>
      <c r="O29" s="8"/>
      <c r="P29" s="8">
        <v>8</v>
      </c>
      <c r="Q29" s="8"/>
      <c r="R29" s="8"/>
      <c r="S29" s="8">
        <v>2</v>
      </c>
      <c r="T29" s="8"/>
      <c r="U29" s="8"/>
      <c r="V29" s="8"/>
      <c r="W29" s="8"/>
      <c r="X29" s="8"/>
      <c r="Y29" s="8">
        <v>4</v>
      </c>
      <c r="Z29" s="8"/>
      <c r="AA29" s="8">
        <v>4</v>
      </c>
      <c r="AB29" s="8"/>
      <c r="AC29" s="8"/>
      <c r="AD29" s="8"/>
      <c r="AE29" s="8"/>
      <c r="AF29" s="8"/>
      <c r="AG29" s="8"/>
      <c r="AH29" s="8"/>
      <c r="AI29" s="8"/>
      <c r="AK29" s="20">
        <f t="shared" si="6"/>
        <v>21521</v>
      </c>
      <c r="AL29" s="20">
        <f t="shared" si="7"/>
        <v>7174</v>
      </c>
      <c r="AM29" s="20">
        <f t="shared" si="8"/>
        <v>1435</v>
      </c>
      <c r="AN29" s="20">
        <f t="shared" si="9"/>
        <v>0</v>
      </c>
      <c r="AO29" s="20">
        <f t="shared" si="10"/>
        <v>0</v>
      </c>
      <c r="AP29" s="20">
        <f t="shared" si="11"/>
        <v>11478</v>
      </c>
      <c r="AQ29" s="20">
        <f t="shared" si="12"/>
        <v>0</v>
      </c>
      <c r="AR29" s="20">
        <f t="shared" si="13"/>
        <v>0</v>
      </c>
      <c r="AS29" s="20">
        <f t="shared" si="14"/>
        <v>2869</v>
      </c>
      <c r="AT29" s="20">
        <f t="shared" si="15"/>
        <v>0</v>
      </c>
      <c r="AU29" s="20">
        <f t="shared" si="16"/>
        <v>0</v>
      </c>
      <c r="AV29" s="20">
        <f t="shared" si="17"/>
        <v>0</v>
      </c>
      <c r="AW29" s="20">
        <f t="shared" si="18"/>
        <v>0</v>
      </c>
      <c r="AX29" s="20">
        <f t="shared" si="19"/>
        <v>0</v>
      </c>
      <c r="AY29" s="20">
        <f t="shared" si="20"/>
        <v>5739</v>
      </c>
      <c r="AZ29" s="20">
        <f t="shared" si="21"/>
        <v>0</v>
      </c>
      <c r="BA29" s="20">
        <f t="shared" si="22"/>
        <v>5739</v>
      </c>
      <c r="BB29" s="20">
        <f t="shared" si="23"/>
        <v>0</v>
      </c>
      <c r="BC29" s="20">
        <f t="shared" si="24"/>
        <v>0</v>
      </c>
      <c r="BD29" s="20">
        <f t="shared" si="25"/>
        <v>0</v>
      </c>
      <c r="BE29" s="20">
        <f t="shared" si="26"/>
        <v>0</v>
      </c>
      <c r="BF29" s="20">
        <f t="shared" si="27"/>
        <v>0</v>
      </c>
      <c r="BG29" s="20">
        <f t="shared" si="28"/>
        <v>0</v>
      </c>
      <c r="BH29" s="20">
        <f t="shared" si="29"/>
        <v>0</v>
      </c>
      <c r="BI29" s="20">
        <f t="shared" si="30"/>
        <v>0</v>
      </c>
      <c r="BJ29" s="23" t="s">
        <v>912</v>
      </c>
      <c r="BK29" s="17" t="s">
        <v>490</v>
      </c>
      <c r="BL29" s="23" t="s">
        <v>491</v>
      </c>
      <c r="BM29" s="41">
        <f t="shared" si="31"/>
        <v>55955</v>
      </c>
      <c r="BN29" s="37">
        <f t="shared" si="5"/>
        <v>50004</v>
      </c>
    </row>
    <row r="30" spans="1:66" ht="34.5" customHeight="1">
      <c r="A30" s="8" t="s">
        <v>499</v>
      </c>
      <c r="B30" s="17" t="s">
        <v>500</v>
      </c>
      <c r="C30" s="60">
        <v>72</v>
      </c>
      <c r="D30" s="18" t="s">
        <v>501</v>
      </c>
      <c r="E30" s="40">
        <v>1123.44</v>
      </c>
      <c r="F30" s="19">
        <f t="shared" si="0"/>
        <v>112.34400000000001</v>
      </c>
      <c r="G30" s="19">
        <f t="shared" si="1"/>
        <v>21.345360000000003</v>
      </c>
      <c r="H30" s="19">
        <f t="shared" si="2"/>
        <v>1257.1293600000001</v>
      </c>
      <c r="J30" s="8">
        <f t="shared" si="3"/>
        <v>67</v>
      </c>
      <c r="K30" s="8">
        <v>20</v>
      </c>
      <c r="L30" s="8">
        <v>4</v>
      </c>
      <c r="M30" s="8">
        <v>1</v>
      </c>
      <c r="N30" s="8"/>
      <c r="O30" s="8">
        <v>3</v>
      </c>
      <c r="P30" s="8"/>
      <c r="Q30" s="8">
        <v>8</v>
      </c>
      <c r="R30" s="8"/>
      <c r="S30" s="8"/>
      <c r="T30" s="8"/>
      <c r="U30" s="8"/>
      <c r="V30" s="8"/>
      <c r="W30" s="8">
        <v>4</v>
      </c>
      <c r="X30" s="8">
        <v>4</v>
      </c>
      <c r="Y30" s="8">
        <v>4</v>
      </c>
      <c r="Z30" s="8"/>
      <c r="AA30" s="8">
        <v>4</v>
      </c>
      <c r="AB30" s="8">
        <v>5</v>
      </c>
      <c r="AC30" s="8"/>
      <c r="AD30" s="8">
        <v>3</v>
      </c>
      <c r="AE30" s="8"/>
      <c r="AF30" s="8"/>
      <c r="AG30" s="8">
        <v>4</v>
      </c>
      <c r="AH30" s="8"/>
      <c r="AI30" s="8">
        <v>3</v>
      </c>
      <c r="AK30" s="20">
        <f t="shared" si="6"/>
        <v>25143</v>
      </c>
      <c r="AL30" s="20">
        <f t="shared" si="7"/>
        <v>5029</v>
      </c>
      <c r="AM30" s="20">
        <f t="shared" si="8"/>
        <v>1257</v>
      </c>
      <c r="AN30" s="20">
        <f t="shared" si="9"/>
        <v>0</v>
      </c>
      <c r="AO30" s="20">
        <f t="shared" si="10"/>
        <v>3771</v>
      </c>
      <c r="AP30" s="20">
        <f t="shared" si="11"/>
        <v>0</v>
      </c>
      <c r="AQ30" s="20">
        <f t="shared" si="12"/>
        <v>10057</v>
      </c>
      <c r="AR30" s="20">
        <f t="shared" si="13"/>
        <v>0</v>
      </c>
      <c r="AS30" s="20">
        <f t="shared" si="14"/>
        <v>0</v>
      </c>
      <c r="AT30" s="20">
        <f t="shared" si="15"/>
        <v>0</v>
      </c>
      <c r="AU30" s="20">
        <f t="shared" si="16"/>
        <v>0</v>
      </c>
      <c r="AV30" s="20">
        <f t="shared" si="17"/>
        <v>0</v>
      </c>
      <c r="AW30" s="20">
        <f t="shared" si="18"/>
        <v>5029</v>
      </c>
      <c r="AX30" s="20">
        <f t="shared" si="19"/>
        <v>5029</v>
      </c>
      <c r="AY30" s="20">
        <f t="shared" si="20"/>
        <v>5029</v>
      </c>
      <c r="AZ30" s="20">
        <f t="shared" si="21"/>
        <v>0</v>
      </c>
      <c r="BA30" s="20">
        <f t="shared" si="22"/>
        <v>5029</v>
      </c>
      <c r="BB30" s="20">
        <f t="shared" si="23"/>
        <v>6286</v>
      </c>
      <c r="BC30" s="20">
        <f t="shared" si="24"/>
        <v>0</v>
      </c>
      <c r="BD30" s="20">
        <f t="shared" si="25"/>
        <v>3771</v>
      </c>
      <c r="BE30" s="20">
        <f t="shared" si="26"/>
        <v>0</v>
      </c>
      <c r="BF30" s="20">
        <f t="shared" si="27"/>
        <v>0</v>
      </c>
      <c r="BG30" s="20">
        <f t="shared" si="28"/>
        <v>5029</v>
      </c>
      <c r="BH30" s="20">
        <f t="shared" si="29"/>
        <v>0</v>
      </c>
      <c r="BI30" s="20">
        <f t="shared" si="30"/>
        <v>3771</v>
      </c>
      <c r="BJ30" s="17" t="s">
        <v>937</v>
      </c>
      <c r="BK30" s="17" t="s">
        <v>499</v>
      </c>
      <c r="BL30" s="17" t="s">
        <v>500</v>
      </c>
      <c r="BM30" s="41">
        <f t="shared" si="31"/>
        <v>84230</v>
      </c>
      <c r="BN30" s="37">
        <f t="shared" si="5"/>
        <v>75270</v>
      </c>
    </row>
    <row r="31" spans="1:66" ht="34.5" customHeight="1">
      <c r="A31" s="8" t="s">
        <v>499</v>
      </c>
      <c r="B31" s="17" t="s">
        <v>500</v>
      </c>
      <c r="C31" s="60">
        <v>73</v>
      </c>
      <c r="D31" s="18" t="s">
        <v>502</v>
      </c>
      <c r="E31" s="40">
        <v>1026.56</v>
      </c>
      <c r="F31" s="19">
        <f t="shared" si="0"/>
        <v>102.65600000000001</v>
      </c>
      <c r="G31" s="19">
        <f t="shared" si="1"/>
        <v>19.504640000000002</v>
      </c>
      <c r="H31" s="19">
        <f t="shared" si="2"/>
        <v>1148.72064</v>
      </c>
      <c r="J31" s="8">
        <f t="shared" si="3"/>
        <v>18</v>
      </c>
      <c r="K31" s="8">
        <v>15</v>
      </c>
      <c r="L31" s="8"/>
      <c r="M31" s="8"/>
      <c r="N31" s="8"/>
      <c r="O31" s="8"/>
      <c r="P31" s="8"/>
      <c r="Q31" s="8"/>
      <c r="R31" s="8"/>
      <c r="S31" s="8"/>
      <c r="T31" s="8"/>
      <c r="U31" s="8"/>
      <c r="V31" s="8"/>
      <c r="W31" s="8"/>
      <c r="X31" s="8"/>
      <c r="Y31" s="8"/>
      <c r="Z31" s="8"/>
      <c r="AA31" s="8"/>
      <c r="AB31" s="8"/>
      <c r="AC31" s="8"/>
      <c r="AD31" s="8"/>
      <c r="AE31" s="8"/>
      <c r="AF31" s="8"/>
      <c r="AG31" s="8"/>
      <c r="AH31" s="8"/>
      <c r="AI31" s="8">
        <v>3</v>
      </c>
      <c r="AK31" s="20">
        <f t="shared" si="6"/>
        <v>17231</v>
      </c>
      <c r="AL31" s="20">
        <f t="shared" si="7"/>
        <v>0</v>
      </c>
      <c r="AM31" s="20">
        <f t="shared" si="8"/>
        <v>0</v>
      </c>
      <c r="AN31" s="20">
        <f t="shared" si="9"/>
        <v>0</v>
      </c>
      <c r="AO31" s="20">
        <f t="shared" si="10"/>
        <v>0</v>
      </c>
      <c r="AP31" s="20">
        <f t="shared" si="11"/>
        <v>0</v>
      </c>
      <c r="AQ31" s="20">
        <f t="shared" si="12"/>
        <v>0</v>
      </c>
      <c r="AR31" s="20">
        <f t="shared" si="13"/>
        <v>0</v>
      </c>
      <c r="AS31" s="20">
        <f t="shared" si="14"/>
        <v>0</v>
      </c>
      <c r="AT31" s="20">
        <f t="shared" si="15"/>
        <v>0</v>
      </c>
      <c r="AU31" s="20">
        <f t="shared" si="16"/>
        <v>0</v>
      </c>
      <c r="AV31" s="20">
        <f t="shared" si="17"/>
        <v>0</v>
      </c>
      <c r="AW31" s="20">
        <f t="shared" si="18"/>
        <v>0</v>
      </c>
      <c r="AX31" s="20">
        <f t="shared" si="19"/>
        <v>0</v>
      </c>
      <c r="AY31" s="20">
        <f t="shared" si="20"/>
        <v>0</v>
      </c>
      <c r="AZ31" s="20">
        <f t="shared" si="21"/>
        <v>0</v>
      </c>
      <c r="BA31" s="20">
        <f t="shared" si="22"/>
        <v>0</v>
      </c>
      <c r="BB31" s="20">
        <f t="shared" si="23"/>
        <v>0</v>
      </c>
      <c r="BC31" s="20">
        <f t="shared" si="24"/>
        <v>0</v>
      </c>
      <c r="BD31" s="20">
        <f t="shared" si="25"/>
        <v>0</v>
      </c>
      <c r="BE31" s="20">
        <f t="shared" si="26"/>
        <v>0</v>
      </c>
      <c r="BF31" s="20">
        <f t="shared" si="27"/>
        <v>0</v>
      </c>
      <c r="BG31" s="20">
        <f t="shared" si="28"/>
        <v>0</v>
      </c>
      <c r="BH31" s="20">
        <f t="shared" si="29"/>
        <v>0</v>
      </c>
      <c r="BI31" s="20">
        <f t="shared" si="30"/>
        <v>3446</v>
      </c>
      <c r="BJ31" s="17" t="s">
        <v>937</v>
      </c>
      <c r="BK31" s="17" t="s">
        <v>499</v>
      </c>
      <c r="BL31" s="17" t="s">
        <v>500</v>
      </c>
      <c r="BM31" s="41">
        <f t="shared" si="31"/>
        <v>20677</v>
      </c>
      <c r="BN31" s="37">
        <f t="shared" si="5"/>
        <v>18478</v>
      </c>
    </row>
    <row r="32" spans="1:66" ht="34.5" customHeight="1">
      <c r="A32" s="8" t="s">
        <v>503</v>
      </c>
      <c r="B32" s="21" t="s">
        <v>504</v>
      </c>
      <c r="C32" s="60">
        <v>75</v>
      </c>
      <c r="D32" s="18" t="s">
        <v>505</v>
      </c>
      <c r="E32" s="40">
        <v>538.59</v>
      </c>
      <c r="F32" s="19">
        <f t="shared" si="0"/>
        <v>53.859000000000009</v>
      </c>
      <c r="G32" s="19">
        <f t="shared" si="1"/>
        <v>10.233210000000001</v>
      </c>
      <c r="H32" s="19">
        <f t="shared" si="2"/>
        <v>602.68221000000005</v>
      </c>
      <c r="J32" s="8">
        <f t="shared" si="3"/>
        <v>45</v>
      </c>
      <c r="K32" s="8">
        <v>20</v>
      </c>
      <c r="L32" s="8"/>
      <c r="M32" s="8">
        <v>1</v>
      </c>
      <c r="N32" s="8"/>
      <c r="O32" s="8"/>
      <c r="P32" s="8"/>
      <c r="Q32" s="8">
        <v>8</v>
      </c>
      <c r="R32" s="8"/>
      <c r="S32" s="8">
        <v>4</v>
      </c>
      <c r="T32" s="8"/>
      <c r="U32" s="8"/>
      <c r="V32" s="8"/>
      <c r="W32" s="8">
        <v>4</v>
      </c>
      <c r="X32" s="8"/>
      <c r="Y32" s="8">
        <v>4</v>
      </c>
      <c r="Z32" s="8"/>
      <c r="AA32" s="8"/>
      <c r="AB32" s="8">
        <v>4</v>
      </c>
      <c r="AC32" s="8"/>
      <c r="AD32" s="8"/>
      <c r="AE32" s="8"/>
      <c r="AF32" s="8"/>
      <c r="AG32" s="8"/>
      <c r="AH32" s="8"/>
      <c r="AI32" s="8"/>
      <c r="AK32" s="20">
        <f t="shared" si="6"/>
        <v>12054</v>
      </c>
      <c r="AL32" s="20">
        <f t="shared" si="7"/>
        <v>0</v>
      </c>
      <c r="AM32" s="20">
        <f t="shared" si="8"/>
        <v>603</v>
      </c>
      <c r="AN32" s="20">
        <f t="shared" si="9"/>
        <v>0</v>
      </c>
      <c r="AO32" s="20">
        <f t="shared" si="10"/>
        <v>0</v>
      </c>
      <c r="AP32" s="20">
        <f t="shared" si="11"/>
        <v>0</v>
      </c>
      <c r="AQ32" s="20">
        <f t="shared" si="12"/>
        <v>4821</v>
      </c>
      <c r="AR32" s="20">
        <f t="shared" si="13"/>
        <v>0</v>
      </c>
      <c r="AS32" s="20">
        <f t="shared" si="14"/>
        <v>2411</v>
      </c>
      <c r="AT32" s="20">
        <f t="shared" si="15"/>
        <v>0</v>
      </c>
      <c r="AU32" s="20">
        <f t="shared" si="16"/>
        <v>0</v>
      </c>
      <c r="AV32" s="20">
        <f t="shared" si="17"/>
        <v>0</v>
      </c>
      <c r="AW32" s="20">
        <f t="shared" si="18"/>
        <v>2411</v>
      </c>
      <c r="AX32" s="20">
        <f t="shared" si="19"/>
        <v>0</v>
      </c>
      <c r="AY32" s="20">
        <f t="shared" si="20"/>
        <v>2411</v>
      </c>
      <c r="AZ32" s="20">
        <f t="shared" si="21"/>
        <v>0</v>
      </c>
      <c r="BA32" s="20">
        <f t="shared" si="22"/>
        <v>0</v>
      </c>
      <c r="BB32" s="20">
        <f t="shared" si="23"/>
        <v>2411</v>
      </c>
      <c r="BC32" s="20">
        <f t="shared" si="24"/>
        <v>0</v>
      </c>
      <c r="BD32" s="20">
        <f t="shared" si="25"/>
        <v>0</v>
      </c>
      <c r="BE32" s="20">
        <f t="shared" si="26"/>
        <v>0</v>
      </c>
      <c r="BF32" s="20">
        <f t="shared" si="27"/>
        <v>0</v>
      </c>
      <c r="BG32" s="20">
        <f t="shared" si="28"/>
        <v>0</v>
      </c>
      <c r="BH32" s="20">
        <f t="shared" si="29"/>
        <v>0</v>
      </c>
      <c r="BI32" s="20">
        <f t="shared" si="30"/>
        <v>0</v>
      </c>
      <c r="BJ32" s="21" t="s">
        <v>913</v>
      </c>
      <c r="BK32" s="17" t="s">
        <v>503</v>
      </c>
      <c r="BL32" s="21" t="s">
        <v>504</v>
      </c>
      <c r="BM32" s="41">
        <f t="shared" si="31"/>
        <v>27122</v>
      </c>
      <c r="BN32" s="37">
        <f t="shared" si="5"/>
        <v>24237</v>
      </c>
    </row>
    <row r="33" spans="1:66" ht="34.5" customHeight="1">
      <c r="A33" s="8" t="s">
        <v>503</v>
      </c>
      <c r="B33" s="21" t="s">
        <v>504</v>
      </c>
      <c r="C33" s="60">
        <v>76</v>
      </c>
      <c r="D33" s="18" t="s">
        <v>506</v>
      </c>
      <c r="E33" s="40">
        <v>225.73</v>
      </c>
      <c r="F33" s="19">
        <f t="shared" si="0"/>
        <v>22.573</v>
      </c>
      <c r="G33" s="19">
        <f t="shared" si="1"/>
        <v>4.2888700000000002</v>
      </c>
      <c r="H33" s="19">
        <f t="shared" si="2"/>
        <v>252.59187</v>
      </c>
      <c r="J33" s="8">
        <f t="shared" si="3"/>
        <v>44</v>
      </c>
      <c r="K33" s="8">
        <v>30</v>
      </c>
      <c r="L33" s="8">
        <v>2</v>
      </c>
      <c r="M33" s="8"/>
      <c r="N33" s="8"/>
      <c r="O33" s="8"/>
      <c r="P33" s="8"/>
      <c r="Q33" s="8"/>
      <c r="R33" s="8"/>
      <c r="S33" s="8">
        <v>2</v>
      </c>
      <c r="T33" s="8"/>
      <c r="U33" s="8">
        <v>2</v>
      </c>
      <c r="V33" s="8"/>
      <c r="W33" s="8">
        <v>2</v>
      </c>
      <c r="X33" s="8"/>
      <c r="Y33" s="8">
        <v>2</v>
      </c>
      <c r="Z33" s="8"/>
      <c r="AA33" s="8"/>
      <c r="AB33" s="8"/>
      <c r="AC33" s="8"/>
      <c r="AD33" s="8"/>
      <c r="AE33" s="8"/>
      <c r="AF33" s="8"/>
      <c r="AG33" s="8"/>
      <c r="AH33" s="8"/>
      <c r="AI33" s="8">
        <v>4</v>
      </c>
      <c r="AK33" s="20">
        <f t="shared" si="6"/>
        <v>7578</v>
      </c>
      <c r="AL33" s="20">
        <f t="shared" si="7"/>
        <v>505</v>
      </c>
      <c r="AM33" s="20">
        <f t="shared" si="8"/>
        <v>0</v>
      </c>
      <c r="AN33" s="20">
        <f t="shared" si="9"/>
        <v>0</v>
      </c>
      <c r="AO33" s="20">
        <f t="shared" si="10"/>
        <v>0</v>
      </c>
      <c r="AP33" s="20">
        <f t="shared" si="11"/>
        <v>0</v>
      </c>
      <c r="AQ33" s="20">
        <f t="shared" si="12"/>
        <v>0</v>
      </c>
      <c r="AR33" s="20">
        <f t="shared" si="13"/>
        <v>0</v>
      </c>
      <c r="AS33" s="20">
        <f t="shared" si="14"/>
        <v>505</v>
      </c>
      <c r="AT33" s="20">
        <f t="shared" si="15"/>
        <v>0</v>
      </c>
      <c r="AU33" s="20">
        <f t="shared" si="16"/>
        <v>505</v>
      </c>
      <c r="AV33" s="20">
        <f t="shared" si="17"/>
        <v>0</v>
      </c>
      <c r="AW33" s="20">
        <f t="shared" si="18"/>
        <v>505</v>
      </c>
      <c r="AX33" s="20">
        <f t="shared" si="19"/>
        <v>0</v>
      </c>
      <c r="AY33" s="20">
        <f t="shared" si="20"/>
        <v>505</v>
      </c>
      <c r="AZ33" s="20">
        <f t="shared" si="21"/>
        <v>0</v>
      </c>
      <c r="BA33" s="20">
        <f t="shared" si="22"/>
        <v>0</v>
      </c>
      <c r="BB33" s="20">
        <f t="shared" si="23"/>
        <v>0</v>
      </c>
      <c r="BC33" s="20">
        <f t="shared" si="24"/>
        <v>0</v>
      </c>
      <c r="BD33" s="20">
        <f t="shared" si="25"/>
        <v>0</v>
      </c>
      <c r="BE33" s="20">
        <f t="shared" si="26"/>
        <v>0</v>
      </c>
      <c r="BF33" s="20">
        <f t="shared" si="27"/>
        <v>0</v>
      </c>
      <c r="BG33" s="20">
        <f t="shared" si="28"/>
        <v>0</v>
      </c>
      <c r="BH33" s="20">
        <f t="shared" si="29"/>
        <v>0</v>
      </c>
      <c r="BI33" s="20">
        <f t="shared" si="30"/>
        <v>1010</v>
      </c>
      <c r="BJ33" s="21" t="s">
        <v>913</v>
      </c>
      <c r="BK33" s="17" t="s">
        <v>503</v>
      </c>
      <c r="BL33" s="21" t="s">
        <v>504</v>
      </c>
      <c r="BM33" s="41">
        <f t="shared" si="31"/>
        <v>11113</v>
      </c>
      <c r="BN33" s="37">
        <f t="shared" si="5"/>
        <v>9932</v>
      </c>
    </row>
    <row r="34" spans="1:66" ht="56.25">
      <c r="A34" s="8" t="s">
        <v>503</v>
      </c>
      <c r="B34" s="21" t="s">
        <v>504</v>
      </c>
      <c r="C34" s="60">
        <v>77</v>
      </c>
      <c r="D34" s="18" t="s">
        <v>507</v>
      </c>
      <c r="E34" s="40">
        <v>225.73</v>
      </c>
      <c r="F34" s="19">
        <f t="shared" ref="F34:F67" si="32">+E34*10%</f>
        <v>22.573</v>
      </c>
      <c r="G34" s="19">
        <f t="shared" ref="G34:G67" si="33">+F34*19%</f>
        <v>4.2888700000000002</v>
      </c>
      <c r="H34" s="19">
        <f t="shared" ref="H34:H67" si="34">+E34+F34+G34</f>
        <v>252.59187</v>
      </c>
      <c r="J34" s="8">
        <f t="shared" si="3"/>
        <v>56</v>
      </c>
      <c r="K34" s="8">
        <v>30</v>
      </c>
      <c r="L34" s="8"/>
      <c r="M34" s="8"/>
      <c r="N34" s="8"/>
      <c r="O34" s="8">
        <v>1</v>
      </c>
      <c r="P34" s="8"/>
      <c r="Q34" s="8"/>
      <c r="R34" s="8"/>
      <c r="S34" s="8">
        <v>4</v>
      </c>
      <c r="T34" s="8"/>
      <c r="U34" s="8">
        <v>8</v>
      </c>
      <c r="V34" s="8">
        <v>5</v>
      </c>
      <c r="W34" s="8">
        <v>4</v>
      </c>
      <c r="X34" s="8"/>
      <c r="Y34" s="8">
        <v>4</v>
      </c>
      <c r="Z34" s="8"/>
      <c r="AA34" s="8"/>
      <c r="AB34" s="8"/>
      <c r="AC34" s="8"/>
      <c r="AD34" s="8"/>
      <c r="AE34" s="8"/>
      <c r="AF34" s="8"/>
      <c r="AG34" s="8"/>
      <c r="AH34" s="8"/>
      <c r="AI34" s="8"/>
      <c r="AK34" s="20">
        <f t="shared" si="6"/>
        <v>7578</v>
      </c>
      <c r="AL34" s="20">
        <f t="shared" si="7"/>
        <v>0</v>
      </c>
      <c r="AM34" s="20">
        <f t="shared" si="8"/>
        <v>0</v>
      </c>
      <c r="AN34" s="20">
        <f t="shared" si="9"/>
        <v>0</v>
      </c>
      <c r="AO34" s="20">
        <f t="shared" si="10"/>
        <v>253</v>
      </c>
      <c r="AP34" s="20">
        <f t="shared" si="11"/>
        <v>0</v>
      </c>
      <c r="AQ34" s="20">
        <f t="shared" si="12"/>
        <v>0</v>
      </c>
      <c r="AR34" s="20">
        <f t="shared" si="13"/>
        <v>0</v>
      </c>
      <c r="AS34" s="20">
        <f t="shared" si="14"/>
        <v>1010</v>
      </c>
      <c r="AT34" s="20">
        <f t="shared" si="15"/>
        <v>0</v>
      </c>
      <c r="AU34" s="20">
        <f t="shared" si="16"/>
        <v>2021</v>
      </c>
      <c r="AV34" s="20">
        <f t="shared" si="17"/>
        <v>1263</v>
      </c>
      <c r="AW34" s="20">
        <f t="shared" si="18"/>
        <v>1010</v>
      </c>
      <c r="AX34" s="20">
        <f t="shared" si="19"/>
        <v>0</v>
      </c>
      <c r="AY34" s="20">
        <f t="shared" si="20"/>
        <v>1010</v>
      </c>
      <c r="AZ34" s="20">
        <f t="shared" si="21"/>
        <v>0</v>
      </c>
      <c r="BA34" s="20">
        <f t="shared" si="22"/>
        <v>0</v>
      </c>
      <c r="BB34" s="20">
        <f t="shared" si="23"/>
        <v>0</v>
      </c>
      <c r="BC34" s="20">
        <f t="shared" si="24"/>
        <v>0</v>
      </c>
      <c r="BD34" s="20">
        <f t="shared" si="25"/>
        <v>0</v>
      </c>
      <c r="BE34" s="20">
        <f t="shared" si="26"/>
        <v>0</v>
      </c>
      <c r="BF34" s="20">
        <f t="shared" si="27"/>
        <v>0</v>
      </c>
      <c r="BG34" s="20">
        <f t="shared" si="28"/>
        <v>0</v>
      </c>
      <c r="BH34" s="20">
        <f t="shared" si="29"/>
        <v>0</v>
      </c>
      <c r="BI34" s="20">
        <f t="shared" si="30"/>
        <v>0</v>
      </c>
      <c r="BJ34" s="21" t="s">
        <v>913</v>
      </c>
      <c r="BK34" s="17" t="s">
        <v>503</v>
      </c>
      <c r="BL34" s="21" t="s">
        <v>504</v>
      </c>
      <c r="BM34" s="41">
        <f t="shared" si="31"/>
        <v>14145</v>
      </c>
      <c r="BN34" s="37">
        <f t="shared" ref="BN34:BN65" si="35">+ROUND((E34*J34),0)</f>
        <v>12641</v>
      </c>
    </row>
    <row r="35" spans="1:66" ht="56.25">
      <c r="A35" s="8" t="s">
        <v>503</v>
      </c>
      <c r="B35" s="21" t="s">
        <v>504</v>
      </c>
      <c r="C35" s="60">
        <v>78</v>
      </c>
      <c r="D35" s="24" t="s">
        <v>508</v>
      </c>
      <c r="E35" s="40">
        <v>189.21</v>
      </c>
      <c r="F35" s="19">
        <f t="shared" si="32"/>
        <v>18.921000000000003</v>
      </c>
      <c r="G35" s="19">
        <f t="shared" si="33"/>
        <v>3.5949900000000006</v>
      </c>
      <c r="H35" s="19">
        <f t="shared" si="34"/>
        <v>211.72599</v>
      </c>
      <c r="J35" s="8">
        <f t="shared" si="3"/>
        <v>45</v>
      </c>
      <c r="K35" s="8">
        <v>20</v>
      </c>
      <c r="L35" s="8">
        <v>8</v>
      </c>
      <c r="M35" s="8"/>
      <c r="N35" s="8"/>
      <c r="O35" s="8"/>
      <c r="P35" s="8"/>
      <c r="Q35" s="8"/>
      <c r="R35" s="8"/>
      <c r="S35" s="8">
        <v>4</v>
      </c>
      <c r="T35" s="8"/>
      <c r="U35" s="8"/>
      <c r="V35" s="8">
        <v>8</v>
      </c>
      <c r="W35" s="8">
        <v>2</v>
      </c>
      <c r="X35" s="8"/>
      <c r="Y35" s="8"/>
      <c r="Z35" s="8"/>
      <c r="AA35" s="8"/>
      <c r="AB35" s="8"/>
      <c r="AC35" s="8"/>
      <c r="AD35" s="8"/>
      <c r="AE35" s="8"/>
      <c r="AF35" s="8"/>
      <c r="AG35" s="8"/>
      <c r="AH35" s="8"/>
      <c r="AI35" s="8">
        <v>3</v>
      </c>
      <c r="AK35" s="20">
        <f t="shared" si="6"/>
        <v>4235</v>
      </c>
      <c r="AL35" s="20">
        <f t="shared" si="7"/>
        <v>1694</v>
      </c>
      <c r="AM35" s="20">
        <f t="shared" si="8"/>
        <v>0</v>
      </c>
      <c r="AN35" s="20">
        <f t="shared" si="9"/>
        <v>0</v>
      </c>
      <c r="AO35" s="20">
        <f t="shared" si="10"/>
        <v>0</v>
      </c>
      <c r="AP35" s="20">
        <f t="shared" si="11"/>
        <v>0</v>
      </c>
      <c r="AQ35" s="20">
        <f t="shared" si="12"/>
        <v>0</v>
      </c>
      <c r="AR35" s="20">
        <f t="shared" si="13"/>
        <v>0</v>
      </c>
      <c r="AS35" s="20">
        <f t="shared" si="14"/>
        <v>847</v>
      </c>
      <c r="AT35" s="20">
        <f t="shared" si="15"/>
        <v>0</v>
      </c>
      <c r="AU35" s="20">
        <f t="shared" si="16"/>
        <v>0</v>
      </c>
      <c r="AV35" s="20">
        <f t="shared" si="17"/>
        <v>1694</v>
      </c>
      <c r="AW35" s="20">
        <f t="shared" si="18"/>
        <v>423</v>
      </c>
      <c r="AX35" s="20">
        <f t="shared" si="19"/>
        <v>0</v>
      </c>
      <c r="AY35" s="20">
        <f t="shared" si="20"/>
        <v>0</v>
      </c>
      <c r="AZ35" s="20">
        <f t="shared" si="21"/>
        <v>0</v>
      </c>
      <c r="BA35" s="20">
        <f t="shared" si="22"/>
        <v>0</v>
      </c>
      <c r="BB35" s="20">
        <f t="shared" si="23"/>
        <v>0</v>
      </c>
      <c r="BC35" s="20">
        <f t="shared" si="24"/>
        <v>0</v>
      </c>
      <c r="BD35" s="20">
        <f t="shared" si="25"/>
        <v>0</v>
      </c>
      <c r="BE35" s="20">
        <f t="shared" si="26"/>
        <v>0</v>
      </c>
      <c r="BF35" s="20">
        <f t="shared" si="27"/>
        <v>0</v>
      </c>
      <c r="BG35" s="20">
        <f t="shared" si="28"/>
        <v>0</v>
      </c>
      <c r="BH35" s="20">
        <f t="shared" si="29"/>
        <v>0</v>
      </c>
      <c r="BI35" s="20">
        <f t="shared" si="30"/>
        <v>635</v>
      </c>
      <c r="BJ35" s="21" t="s">
        <v>913</v>
      </c>
      <c r="BK35" s="17" t="s">
        <v>503</v>
      </c>
      <c r="BL35" s="21" t="s">
        <v>504</v>
      </c>
      <c r="BM35" s="41">
        <f t="shared" si="31"/>
        <v>9528</v>
      </c>
      <c r="BN35" s="37">
        <f t="shared" si="35"/>
        <v>8514</v>
      </c>
    </row>
    <row r="36" spans="1:66" ht="56.25">
      <c r="A36" s="8" t="s">
        <v>503</v>
      </c>
      <c r="B36" s="21" t="s">
        <v>504</v>
      </c>
      <c r="C36" s="60">
        <v>79</v>
      </c>
      <c r="D36" s="24" t="s">
        <v>509</v>
      </c>
      <c r="E36" s="40">
        <v>173.44</v>
      </c>
      <c r="F36" s="19">
        <f t="shared" si="32"/>
        <v>17.344000000000001</v>
      </c>
      <c r="G36" s="19">
        <f t="shared" si="33"/>
        <v>3.2953600000000001</v>
      </c>
      <c r="H36" s="19">
        <f t="shared" si="34"/>
        <v>194.07935999999998</v>
      </c>
      <c r="J36" s="8">
        <f t="shared" si="3"/>
        <v>34</v>
      </c>
      <c r="K36" s="8">
        <v>20</v>
      </c>
      <c r="L36" s="8">
        <v>2</v>
      </c>
      <c r="M36" s="8"/>
      <c r="N36" s="8"/>
      <c r="O36" s="8">
        <v>1</v>
      </c>
      <c r="P36" s="8"/>
      <c r="Q36" s="8"/>
      <c r="R36" s="8"/>
      <c r="S36" s="8">
        <v>2</v>
      </c>
      <c r="T36" s="8"/>
      <c r="U36" s="8">
        <v>2</v>
      </c>
      <c r="V36" s="8">
        <v>2</v>
      </c>
      <c r="W36" s="8">
        <v>2</v>
      </c>
      <c r="X36" s="8"/>
      <c r="Y36" s="8">
        <v>2</v>
      </c>
      <c r="Z36" s="8"/>
      <c r="AA36" s="8"/>
      <c r="AB36" s="8">
        <v>1</v>
      </c>
      <c r="AC36" s="8"/>
      <c r="AD36" s="8"/>
      <c r="AE36" s="8"/>
      <c r="AF36" s="8"/>
      <c r="AG36" s="8"/>
      <c r="AH36" s="8"/>
      <c r="AI36" s="8"/>
      <c r="AK36" s="20">
        <f t="shared" si="6"/>
        <v>3882</v>
      </c>
      <c r="AL36" s="20">
        <f t="shared" si="7"/>
        <v>388</v>
      </c>
      <c r="AM36" s="20">
        <f t="shared" si="8"/>
        <v>0</v>
      </c>
      <c r="AN36" s="20">
        <f t="shared" si="9"/>
        <v>0</v>
      </c>
      <c r="AO36" s="20">
        <f t="shared" si="10"/>
        <v>194</v>
      </c>
      <c r="AP36" s="20">
        <f t="shared" si="11"/>
        <v>0</v>
      </c>
      <c r="AQ36" s="20">
        <f t="shared" si="12"/>
        <v>0</v>
      </c>
      <c r="AR36" s="20">
        <f t="shared" si="13"/>
        <v>0</v>
      </c>
      <c r="AS36" s="20">
        <f t="shared" si="14"/>
        <v>388</v>
      </c>
      <c r="AT36" s="20">
        <f t="shared" si="15"/>
        <v>0</v>
      </c>
      <c r="AU36" s="20">
        <f t="shared" si="16"/>
        <v>388</v>
      </c>
      <c r="AV36" s="20">
        <f t="shared" si="17"/>
        <v>388</v>
      </c>
      <c r="AW36" s="20">
        <f t="shared" si="18"/>
        <v>388</v>
      </c>
      <c r="AX36" s="20">
        <f t="shared" si="19"/>
        <v>0</v>
      </c>
      <c r="AY36" s="20">
        <f t="shared" si="20"/>
        <v>388</v>
      </c>
      <c r="AZ36" s="20">
        <f t="shared" si="21"/>
        <v>0</v>
      </c>
      <c r="BA36" s="20">
        <f t="shared" si="22"/>
        <v>0</v>
      </c>
      <c r="BB36" s="20">
        <f t="shared" si="23"/>
        <v>194</v>
      </c>
      <c r="BC36" s="20">
        <f t="shared" si="24"/>
        <v>0</v>
      </c>
      <c r="BD36" s="20">
        <f t="shared" si="25"/>
        <v>0</v>
      </c>
      <c r="BE36" s="20">
        <f t="shared" si="26"/>
        <v>0</v>
      </c>
      <c r="BF36" s="20">
        <f t="shared" si="27"/>
        <v>0</v>
      </c>
      <c r="BG36" s="20">
        <f t="shared" si="28"/>
        <v>0</v>
      </c>
      <c r="BH36" s="20">
        <f t="shared" si="29"/>
        <v>0</v>
      </c>
      <c r="BI36" s="20">
        <f t="shared" si="30"/>
        <v>0</v>
      </c>
      <c r="BJ36" s="21" t="s">
        <v>913</v>
      </c>
      <c r="BK36" s="17" t="s">
        <v>503</v>
      </c>
      <c r="BL36" s="21" t="s">
        <v>504</v>
      </c>
      <c r="BM36" s="41">
        <f t="shared" si="31"/>
        <v>6598</v>
      </c>
      <c r="BN36" s="37">
        <f t="shared" si="35"/>
        <v>5897</v>
      </c>
    </row>
    <row r="37" spans="1:66" ht="33.75">
      <c r="A37" s="8" t="s">
        <v>510</v>
      </c>
      <c r="B37" s="17" t="s">
        <v>511</v>
      </c>
      <c r="C37" s="60">
        <v>82</v>
      </c>
      <c r="D37" s="18" t="s">
        <v>512</v>
      </c>
      <c r="E37" s="40">
        <v>1696.06</v>
      </c>
      <c r="F37" s="19">
        <f t="shared" si="32"/>
        <v>169.60599999999999</v>
      </c>
      <c r="G37" s="19">
        <f t="shared" si="33"/>
        <v>32.225139999999996</v>
      </c>
      <c r="H37" s="19">
        <f t="shared" si="34"/>
        <v>1897.89114</v>
      </c>
      <c r="J37" s="8">
        <f t="shared" si="3"/>
        <v>41</v>
      </c>
      <c r="K37" s="8">
        <v>20</v>
      </c>
      <c r="L37" s="8"/>
      <c r="M37" s="8"/>
      <c r="N37" s="8"/>
      <c r="O37" s="8"/>
      <c r="P37" s="8"/>
      <c r="Q37" s="8">
        <v>8</v>
      </c>
      <c r="R37" s="8"/>
      <c r="S37" s="8"/>
      <c r="T37" s="8">
        <v>8</v>
      </c>
      <c r="U37" s="8"/>
      <c r="V37" s="8"/>
      <c r="W37" s="8"/>
      <c r="X37" s="8"/>
      <c r="Y37" s="8">
        <v>3</v>
      </c>
      <c r="Z37" s="8"/>
      <c r="AA37" s="8"/>
      <c r="AB37" s="8"/>
      <c r="AC37" s="8"/>
      <c r="AD37" s="8"/>
      <c r="AE37" s="8"/>
      <c r="AF37" s="8"/>
      <c r="AG37" s="8"/>
      <c r="AH37" s="8"/>
      <c r="AI37" s="8">
        <v>2</v>
      </c>
      <c r="AK37" s="20">
        <f t="shared" si="6"/>
        <v>37958</v>
      </c>
      <c r="AL37" s="20">
        <f t="shared" si="7"/>
        <v>0</v>
      </c>
      <c r="AM37" s="20">
        <f t="shared" si="8"/>
        <v>0</v>
      </c>
      <c r="AN37" s="20">
        <f t="shared" si="9"/>
        <v>0</v>
      </c>
      <c r="AO37" s="20">
        <f t="shared" si="10"/>
        <v>0</v>
      </c>
      <c r="AP37" s="20">
        <f t="shared" si="11"/>
        <v>0</v>
      </c>
      <c r="AQ37" s="20">
        <f t="shared" si="12"/>
        <v>15183</v>
      </c>
      <c r="AR37" s="20">
        <f t="shared" si="13"/>
        <v>0</v>
      </c>
      <c r="AS37" s="20">
        <f t="shared" si="14"/>
        <v>0</v>
      </c>
      <c r="AT37" s="20">
        <f t="shared" si="15"/>
        <v>15183</v>
      </c>
      <c r="AU37" s="20">
        <f t="shared" si="16"/>
        <v>0</v>
      </c>
      <c r="AV37" s="20">
        <f t="shared" si="17"/>
        <v>0</v>
      </c>
      <c r="AW37" s="20">
        <f t="shared" si="18"/>
        <v>0</v>
      </c>
      <c r="AX37" s="20">
        <f t="shared" si="19"/>
        <v>0</v>
      </c>
      <c r="AY37" s="20">
        <f t="shared" si="20"/>
        <v>5694</v>
      </c>
      <c r="AZ37" s="20">
        <f t="shared" si="21"/>
        <v>0</v>
      </c>
      <c r="BA37" s="20">
        <f t="shared" si="22"/>
        <v>0</v>
      </c>
      <c r="BB37" s="20">
        <f t="shared" si="23"/>
        <v>0</v>
      </c>
      <c r="BC37" s="20">
        <f t="shared" si="24"/>
        <v>0</v>
      </c>
      <c r="BD37" s="20">
        <f t="shared" si="25"/>
        <v>0</v>
      </c>
      <c r="BE37" s="20">
        <f t="shared" si="26"/>
        <v>0</v>
      </c>
      <c r="BF37" s="20">
        <f t="shared" si="27"/>
        <v>0</v>
      </c>
      <c r="BG37" s="20">
        <f t="shared" si="28"/>
        <v>0</v>
      </c>
      <c r="BH37" s="20">
        <f t="shared" si="29"/>
        <v>0</v>
      </c>
      <c r="BI37" s="20">
        <f t="shared" si="30"/>
        <v>3796</v>
      </c>
      <c r="BJ37" s="17" t="s">
        <v>914</v>
      </c>
      <c r="BK37" s="17" t="s">
        <v>510</v>
      </c>
      <c r="BL37" s="17" t="s">
        <v>511</v>
      </c>
      <c r="BM37" s="41">
        <f t="shared" si="31"/>
        <v>77814</v>
      </c>
      <c r="BN37" s="37">
        <f t="shared" si="35"/>
        <v>69538</v>
      </c>
    </row>
    <row r="38" spans="1:66" ht="33.75">
      <c r="A38" s="8" t="s">
        <v>510</v>
      </c>
      <c r="B38" s="17" t="s">
        <v>511</v>
      </c>
      <c r="C38" s="60">
        <v>83</v>
      </c>
      <c r="D38" s="18" t="s">
        <v>513</v>
      </c>
      <c r="E38" s="40">
        <v>1809.13</v>
      </c>
      <c r="F38" s="19">
        <f t="shared" si="32"/>
        <v>180.91300000000001</v>
      </c>
      <c r="G38" s="19">
        <f t="shared" si="33"/>
        <v>34.373470000000005</v>
      </c>
      <c r="H38" s="19">
        <f t="shared" si="34"/>
        <v>2024.4164700000001</v>
      </c>
      <c r="J38" s="8">
        <f t="shared" si="3"/>
        <v>2</v>
      </c>
      <c r="K38" s="8"/>
      <c r="L38" s="8"/>
      <c r="M38" s="8"/>
      <c r="N38" s="8"/>
      <c r="O38" s="8"/>
      <c r="P38" s="8"/>
      <c r="Q38" s="8"/>
      <c r="R38" s="8"/>
      <c r="S38" s="8"/>
      <c r="T38" s="8"/>
      <c r="U38" s="8"/>
      <c r="V38" s="8"/>
      <c r="W38" s="8"/>
      <c r="X38" s="8"/>
      <c r="Y38" s="8">
        <v>2</v>
      </c>
      <c r="Z38" s="8"/>
      <c r="AA38" s="8"/>
      <c r="AB38" s="8"/>
      <c r="AC38" s="8"/>
      <c r="AD38" s="8"/>
      <c r="AE38" s="8"/>
      <c r="AF38" s="8"/>
      <c r="AG38" s="8"/>
      <c r="AH38" s="8"/>
      <c r="AI38" s="8"/>
      <c r="AK38" s="20">
        <f t="shared" si="6"/>
        <v>0</v>
      </c>
      <c r="AL38" s="20">
        <f t="shared" si="7"/>
        <v>0</v>
      </c>
      <c r="AM38" s="20">
        <f t="shared" si="8"/>
        <v>0</v>
      </c>
      <c r="AN38" s="20">
        <f t="shared" si="9"/>
        <v>0</v>
      </c>
      <c r="AO38" s="20">
        <f t="shared" si="10"/>
        <v>0</v>
      </c>
      <c r="AP38" s="20">
        <f t="shared" si="11"/>
        <v>0</v>
      </c>
      <c r="AQ38" s="20">
        <f t="shared" si="12"/>
        <v>0</v>
      </c>
      <c r="AR38" s="20">
        <f t="shared" si="13"/>
        <v>0</v>
      </c>
      <c r="AS38" s="20">
        <f t="shared" si="14"/>
        <v>0</v>
      </c>
      <c r="AT38" s="20">
        <f t="shared" si="15"/>
        <v>0</v>
      </c>
      <c r="AU38" s="20">
        <f t="shared" si="16"/>
        <v>0</v>
      </c>
      <c r="AV38" s="20">
        <f t="shared" si="17"/>
        <v>0</v>
      </c>
      <c r="AW38" s="20">
        <f t="shared" si="18"/>
        <v>0</v>
      </c>
      <c r="AX38" s="20">
        <f t="shared" si="19"/>
        <v>0</v>
      </c>
      <c r="AY38" s="20">
        <f t="shared" si="20"/>
        <v>4049</v>
      </c>
      <c r="AZ38" s="20">
        <f t="shared" si="21"/>
        <v>0</v>
      </c>
      <c r="BA38" s="20">
        <f t="shared" si="22"/>
        <v>0</v>
      </c>
      <c r="BB38" s="20">
        <f t="shared" si="23"/>
        <v>0</v>
      </c>
      <c r="BC38" s="20">
        <f t="shared" si="24"/>
        <v>0</v>
      </c>
      <c r="BD38" s="20">
        <f t="shared" si="25"/>
        <v>0</v>
      </c>
      <c r="BE38" s="20">
        <f t="shared" si="26"/>
        <v>0</v>
      </c>
      <c r="BF38" s="20">
        <f t="shared" si="27"/>
        <v>0</v>
      </c>
      <c r="BG38" s="20">
        <f t="shared" si="28"/>
        <v>0</v>
      </c>
      <c r="BH38" s="20">
        <f t="shared" si="29"/>
        <v>0</v>
      </c>
      <c r="BI38" s="20">
        <f t="shared" si="30"/>
        <v>0</v>
      </c>
      <c r="BJ38" s="17" t="s">
        <v>914</v>
      </c>
      <c r="BK38" s="17" t="s">
        <v>510</v>
      </c>
      <c r="BL38" s="17" t="s">
        <v>511</v>
      </c>
      <c r="BM38" s="41">
        <f t="shared" si="31"/>
        <v>4049</v>
      </c>
      <c r="BN38" s="37">
        <f t="shared" si="35"/>
        <v>3618</v>
      </c>
    </row>
    <row r="39" spans="1:66" ht="33.75">
      <c r="A39" s="8" t="s">
        <v>510</v>
      </c>
      <c r="B39" s="17" t="s">
        <v>511</v>
      </c>
      <c r="C39" s="60">
        <v>84</v>
      </c>
      <c r="D39" s="18" t="s">
        <v>514</v>
      </c>
      <c r="E39" s="40">
        <v>2171.7800000000002</v>
      </c>
      <c r="F39" s="19">
        <f t="shared" si="32"/>
        <v>217.17800000000003</v>
      </c>
      <c r="G39" s="19">
        <f t="shared" si="33"/>
        <v>41.263820000000003</v>
      </c>
      <c r="H39" s="19">
        <f t="shared" si="34"/>
        <v>2430.2218200000002</v>
      </c>
      <c r="J39" s="8">
        <f t="shared" si="3"/>
        <v>0</v>
      </c>
      <c r="K39" s="8"/>
      <c r="L39" s="8"/>
      <c r="M39" s="8"/>
      <c r="N39" s="8"/>
      <c r="O39" s="8"/>
      <c r="P39" s="8"/>
      <c r="Q39" s="8"/>
      <c r="R39" s="8"/>
      <c r="S39" s="8"/>
      <c r="T39" s="8"/>
      <c r="U39" s="8"/>
      <c r="V39" s="8"/>
      <c r="W39" s="8"/>
      <c r="X39" s="8"/>
      <c r="Y39" s="8"/>
      <c r="Z39" s="8"/>
      <c r="AA39" s="8"/>
      <c r="AB39" s="8"/>
      <c r="AC39" s="8"/>
      <c r="AD39" s="8"/>
      <c r="AE39" s="8"/>
      <c r="AF39" s="8"/>
      <c r="AG39" s="8"/>
      <c r="AH39" s="8"/>
      <c r="AI39" s="8"/>
      <c r="AK39" s="20">
        <f t="shared" si="6"/>
        <v>0</v>
      </c>
      <c r="AL39" s="20">
        <f t="shared" si="7"/>
        <v>0</v>
      </c>
      <c r="AM39" s="20">
        <f t="shared" si="8"/>
        <v>0</v>
      </c>
      <c r="AN39" s="20">
        <f t="shared" si="9"/>
        <v>0</v>
      </c>
      <c r="AO39" s="20">
        <f t="shared" si="10"/>
        <v>0</v>
      </c>
      <c r="AP39" s="20">
        <f t="shared" si="11"/>
        <v>0</v>
      </c>
      <c r="AQ39" s="20">
        <f t="shared" si="12"/>
        <v>0</v>
      </c>
      <c r="AR39" s="20">
        <f t="shared" si="13"/>
        <v>0</v>
      </c>
      <c r="AS39" s="20">
        <f t="shared" si="14"/>
        <v>0</v>
      </c>
      <c r="AT39" s="20">
        <f t="shared" si="15"/>
        <v>0</v>
      </c>
      <c r="AU39" s="20">
        <f t="shared" si="16"/>
        <v>0</v>
      </c>
      <c r="AV39" s="20">
        <f t="shared" si="17"/>
        <v>0</v>
      </c>
      <c r="AW39" s="20">
        <f t="shared" si="18"/>
        <v>0</v>
      </c>
      <c r="AX39" s="20">
        <f t="shared" si="19"/>
        <v>0</v>
      </c>
      <c r="AY39" s="20">
        <f t="shared" si="20"/>
        <v>0</v>
      </c>
      <c r="AZ39" s="20">
        <f t="shared" si="21"/>
        <v>0</v>
      </c>
      <c r="BA39" s="20">
        <f t="shared" si="22"/>
        <v>0</v>
      </c>
      <c r="BB39" s="20">
        <f t="shared" si="23"/>
        <v>0</v>
      </c>
      <c r="BC39" s="20">
        <f t="shared" si="24"/>
        <v>0</v>
      </c>
      <c r="BD39" s="20">
        <f t="shared" si="25"/>
        <v>0</v>
      </c>
      <c r="BE39" s="20">
        <f t="shared" si="26"/>
        <v>0</v>
      </c>
      <c r="BF39" s="20">
        <f t="shared" si="27"/>
        <v>0</v>
      </c>
      <c r="BG39" s="20">
        <f t="shared" si="28"/>
        <v>0</v>
      </c>
      <c r="BH39" s="20">
        <f t="shared" si="29"/>
        <v>0</v>
      </c>
      <c r="BI39" s="20">
        <f t="shared" si="30"/>
        <v>0</v>
      </c>
      <c r="BJ39" s="17" t="s">
        <v>914</v>
      </c>
      <c r="BK39" s="17" t="s">
        <v>510</v>
      </c>
      <c r="BL39" s="17" t="s">
        <v>511</v>
      </c>
      <c r="BM39" s="41">
        <f t="shared" si="31"/>
        <v>0</v>
      </c>
      <c r="BN39" s="37">
        <f t="shared" si="35"/>
        <v>0</v>
      </c>
    </row>
    <row r="40" spans="1:66" ht="33.75">
      <c r="A40" s="8" t="s">
        <v>510</v>
      </c>
      <c r="B40" s="17" t="s">
        <v>511</v>
      </c>
      <c r="C40" s="60">
        <v>85</v>
      </c>
      <c r="D40" s="18" t="s">
        <v>515</v>
      </c>
      <c r="E40" s="40">
        <v>2171.7800000000002</v>
      </c>
      <c r="F40" s="19">
        <f t="shared" si="32"/>
        <v>217.17800000000003</v>
      </c>
      <c r="G40" s="19">
        <f t="shared" si="33"/>
        <v>41.263820000000003</v>
      </c>
      <c r="H40" s="19">
        <f t="shared" si="34"/>
        <v>2430.2218200000002</v>
      </c>
      <c r="J40" s="8">
        <f t="shared" si="3"/>
        <v>0</v>
      </c>
      <c r="K40" s="8"/>
      <c r="L40" s="8"/>
      <c r="M40" s="8"/>
      <c r="N40" s="8"/>
      <c r="O40" s="8"/>
      <c r="P40" s="8"/>
      <c r="Q40" s="8"/>
      <c r="R40" s="8"/>
      <c r="S40" s="8"/>
      <c r="T40" s="8"/>
      <c r="U40" s="8"/>
      <c r="V40" s="8"/>
      <c r="W40" s="8"/>
      <c r="X40" s="8"/>
      <c r="Y40" s="8"/>
      <c r="Z40" s="8"/>
      <c r="AA40" s="8"/>
      <c r="AB40" s="8"/>
      <c r="AC40" s="8"/>
      <c r="AD40" s="8"/>
      <c r="AE40" s="8"/>
      <c r="AF40" s="8"/>
      <c r="AG40" s="8"/>
      <c r="AH40" s="8"/>
      <c r="AI40" s="8"/>
      <c r="AK40" s="20">
        <f t="shared" si="6"/>
        <v>0</v>
      </c>
      <c r="AL40" s="20">
        <f t="shared" si="7"/>
        <v>0</v>
      </c>
      <c r="AM40" s="20">
        <f t="shared" si="8"/>
        <v>0</v>
      </c>
      <c r="AN40" s="20">
        <f t="shared" si="9"/>
        <v>0</v>
      </c>
      <c r="AO40" s="20">
        <f t="shared" si="10"/>
        <v>0</v>
      </c>
      <c r="AP40" s="20">
        <f t="shared" si="11"/>
        <v>0</v>
      </c>
      <c r="AQ40" s="20">
        <f t="shared" si="12"/>
        <v>0</v>
      </c>
      <c r="AR40" s="20">
        <f t="shared" si="13"/>
        <v>0</v>
      </c>
      <c r="AS40" s="20">
        <f t="shared" si="14"/>
        <v>0</v>
      </c>
      <c r="AT40" s="20">
        <f t="shared" si="15"/>
        <v>0</v>
      </c>
      <c r="AU40" s="20">
        <f t="shared" si="16"/>
        <v>0</v>
      </c>
      <c r="AV40" s="20">
        <f t="shared" si="17"/>
        <v>0</v>
      </c>
      <c r="AW40" s="20">
        <f t="shared" si="18"/>
        <v>0</v>
      </c>
      <c r="AX40" s="20">
        <f t="shared" si="19"/>
        <v>0</v>
      </c>
      <c r="AY40" s="20">
        <f t="shared" si="20"/>
        <v>0</v>
      </c>
      <c r="AZ40" s="20">
        <f t="shared" si="21"/>
        <v>0</v>
      </c>
      <c r="BA40" s="20">
        <f t="shared" si="22"/>
        <v>0</v>
      </c>
      <c r="BB40" s="20">
        <f t="shared" si="23"/>
        <v>0</v>
      </c>
      <c r="BC40" s="20">
        <f t="shared" si="24"/>
        <v>0</v>
      </c>
      <c r="BD40" s="20">
        <f t="shared" si="25"/>
        <v>0</v>
      </c>
      <c r="BE40" s="20">
        <f t="shared" si="26"/>
        <v>0</v>
      </c>
      <c r="BF40" s="20">
        <f t="shared" si="27"/>
        <v>0</v>
      </c>
      <c r="BG40" s="20">
        <f t="shared" si="28"/>
        <v>0</v>
      </c>
      <c r="BH40" s="20">
        <f t="shared" si="29"/>
        <v>0</v>
      </c>
      <c r="BI40" s="20">
        <f t="shared" si="30"/>
        <v>0</v>
      </c>
      <c r="BJ40" s="17" t="s">
        <v>914</v>
      </c>
      <c r="BK40" s="17" t="s">
        <v>510</v>
      </c>
      <c r="BL40" s="17" t="s">
        <v>511</v>
      </c>
      <c r="BM40" s="41">
        <f t="shared" si="31"/>
        <v>0</v>
      </c>
      <c r="BN40" s="37">
        <f t="shared" si="35"/>
        <v>0</v>
      </c>
    </row>
    <row r="41" spans="1:66" ht="33.75">
      <c r="A41" s="8" t="s">
        <v>516</v>
      </c>
      <c r="B41" s="8" t="s">
        <v>517</v>
      </c>
      <c r="C41" s="60">
        <v>87</v>
      </c>
      <c r="D41" s="18" t="s">
        <v>518</v>
      </c>
      <c r="E41" s="40">
        <v>2596.21</v>
      </c>
      <c r="F41" s="19">
        <f t="shared" si="32"/>
        <v>259.62100000000004</v>
      </c>
      <c r="G41" s="19">
        <f t="shared" si="33"/>
        <v>49.327990000000007</v>
      </c>
      <c r="H41" s="19">
        <f t="shared" si="34"/>
        <v>2905.1589900000004</v>
      </c>
      <c r="J41" s="8">
        <f t="shared" si="3"/>
        <v>3</v>
      </c>
      <c r="K41" s="8"/>
      <c r="L41" s="8"/>
      <c r="M41" s="8"/>
      <c r="N41" s="8"/>
      <c r="O41" s="8"/>
      <c r="P41" s="8"/>
      <c r="Q41" s="8"/>
      <c r="R41" s="8"/>
      <c r="S41" s="8"/>
      <c r="T41" s="8"/>
      <c r="U41" s="8"/>
      <c r="V41" s="8">
        <v>2</v>
      </c>
      <c r="W41" s="8"/>
      <c r="X41" s="8">
        <v>1</v>
      </c>
      <c r="Y41" s="8"/>
      <c r="Z41" s="8"/>
      <c r="AA41" s="8"/>
      <c r="AB41" s="8"/>
      <c r="AC41" s="8"/>
      <c r="AD41" s="8"/>
      <c r="AE41" s="8"/>
      <c r="AF41" s="8"/>
      <c r="AG41" s="8"/>
      <c r="AH41" s="8"/>
      <c r="AI41" s="8"/>
      <c r="AK41" s="20">
        <f t="shared" si="6"/>
        <v>0</v>
      </c>
      <c r="AL41" s="20">
        <f t="shared" si="7"/>
        <v>0</v>
      </c>
      <c r="AM41" s="20">
        <f t="shared" si="8"/>
        <v>0</v>
      </c>
      <c r="AN41" s="20">
        <f t="shared" si="9"/>
        <v>0</v>
      </c>
      <c r="AO41" s="20">
        <f t="shared" si="10"/>
        <v>0</v>
      </c>
      <c r="AP41" s="20">
        <f t="shared" si="11"/>
        <v>0</v>
      </c>
      <c r="AQ41" s="20">
        <f t="shared" si="12"/>
        <v>0</v>
      </c>
      <c r="AR41" s="20">
        <f t="shared" si="13"/>
        <v>0</v>
      </c>
      <c r="AS41" s="20">
        <f t="shared" si="14"/>
        <v>0</v>
      </c>
      <c r="AT41" s="20">
        <f t="shared" si="15"/>
        <v>0</v>
      </c>
      <c r="AU41" s="20">
        <f t="shared" si="16"/>
        <v>0</v>
      </c>
      <c r="AV41" s="20">
        <f t="shared" si="17"/>
        <v>5810</v>
      </c>
      <c r="AW41" s="20">
        <f t="shared" si="18"/>
        <v>0</v>
      </c>
      <c r="AX41" s="20">
        <f t="shared" si="19"/>
        <v>2905</v>
      </c>
      <c r="AY41" s="20">
        <f t="shared" si="20"/>
        <v>0</v>
      </c>
      <c r="AZ41" s="20">
        <f t="shared" si="21"/>
        <v>0</v>
      </c>
      <c r="BA41" s="20">
        <f t="shared" si="22"/>
        <v>0</v>
      </c>
      <c r="BB41" s="20">
        <f t="shared" si="23"/>
        <v>0</v>
      </c>
      <c r="BC41" s="20">
        <f t="shared" si="24"/>
        <v>0</v>
      </c>
      <c r="BD41" s="20">
        <f t="shared" si="25"/>
        <v>0</v>
      </c>
      <c r="BE41" s="20">
        <f t="shared" si="26"/>
        <v>0</v>
      </c>
      <c r="BF41" s="20">
        <f t="shared" si="27"/>
        <v>0</v>
      </c>
      <c r="BG41" s="20">
        <f t="shared" si="28"/>
        <v>0</v>
      </c>
      <c r="BH41" s="20">
        <f t="shared" si="29"/>
        <v>0</v>
      </c>
      <c r="BI41" s="20">
        <f t="shared" si="30"/>
        <v>0</v>
      </c>
      <c r="BJ41" s="17" t="s">
        <v>915</v>
      </c>
      <c r="BK41" s="17" t="s">
        <v>516</v>
      </c>
      <c r="BL41" s="17" t="s">
        <v>517</v>
      </c>
      <c r="BM41" s="41">
        <f t="shared" si="31"/>
        <v>8715</v>
      </c>
      <c r="BN41" s="37">
        <f t="shared" si="35"/>
        <v>7789</v>
      </c>
    </row>
    <row r="42" spans="1:66" ht="45">
      <c r="A42" s="8" t="s">
        <v>519</v>
      </c>
      <c r="B42" s="21" t="s">
        <v>520</v>
      </c>
      <c r="C42" s="60">
        <v>90</v>
      </c>
      <c r="D42" s="18" t="s">
        <v>521</v>
      </c>
      <c r="E42" s="40">
        <v>2473.0300000000002</v>
      </c>
      <c r="F42" s="19">
        <f t="shared" si="32"/>
        <v>247.30300000000003</v>
      </c>
      <c r="G42" s="19">
        <f t="shared" si="33"/>
        <v>46.987570000000005</v>
      </c>
      <c r="H42" s="19">
        <f t="shared" si="34"/>
        <v>2767.3205699999999</v>
      </c>
      <c r="J42" s="8">
        <f t="shared" si="3"/>
        <v>2</v>
      </c>
      <c r="K42" s="8"/>
      <c r="L42" s="8"/>
      <c r="M42" s="8"/>
      <c r="N42" s="8"/>
      <c r="O42" s="8"/>
      <c r="P42" s="8"/>
      <c r="Q42" s="8"/>
      <c r="R42" s="8"/>
      <c r="S42" s="8"/>
      <c r="T42" s="8"/>
      <c r="U42" s="8"/>
      <c r="V42" s="8"/>
      <c r="W42" s="8"/>
      <c r="X42" s="8"/>
      <c r="Y42" s="8"/>
      <c r="Z42" s="8"/>
      <c r="AA42" s="8"/>
      <c r="AB42" s="8">
        <v>2</v>
      </c>
      <c r="AC42" s="8"/>
      <c r="AD42" s="8"/>
      <c r="AE42" s="8"/>
      <c r="AF42" s="8"/>
      <c r="AG42" s="8"/>
      <c r="AH42" s="8"/>
      <c r="AI42" s="8"/>
      <c r="AK42" s="20">
        <f t="shared" si="6"/>
        <v>0</v>
      </c>
      <c r="AL42" s="20">
        <f t="shared" si="7"/>
        <v>0</v>
      </c>
      <c r="AM42" s="20">
        <f t="shared" si="8"/>
        <v>0</v>
      </c>
      <c r="AN42" s="20">
        <f t="shared" si="9"/>
        <v>0</v>
      </c>
      <c r="AO42" s="20">
        <f t="shared" si="10"/>
        <v>0</v>
      </c>
      <c r="AP42" s="20">
        <f t="shared" si="11"/>
        <v>0</v>
      </c>
      <c r="AQ42" s="20">
        <f t="shared" si="12"/>
        <v>0</v>
      </c>
      <c r="AR42" s="20">
        <f t="shared" si="13"/>
        <v>0</v>
      </c>
      <c r="AS42" s="20">
        <f t="shared" si="14"/>
        <v>0</v>
      </c>
      <c r="AT42" s="20">
        <f t="shared" si="15"/>
        <v>0</v>
      </c>
      <c r="AU42" s="20">
        <f t="shared" si="16"/>
        <v>0</v>
      </c>
      <c r="AV42" s="20">
        <f t="shared" si="17"/>
        <v>0</v>
      </c>
      <c r="AW42" s="20">
        <f t="shared" si="18"/>
        <v>0</v>
      </c>
      <c r="AX42" s="20">
        <f t="shared" si="19"/>
        <v>0</v>
      </c>
      <c r="AY42" s="20">
        <f t="shared" si="20"/>
        <v>0</v>
      </c>
      <c r="AZ42" s="20">
        <f t="shared" si="21"/>
        <v>0</v>
      </c>
      <c r="BA42" s="20">
        <f t="shared" si="22"/>
        <v>0</v>
      </c>
      <c r="BB42" s="20">
        <f t="shared" si="23"/>
        <v>5535</v>
      </c>
      <c r="BC42" s="20">
        <f t="shared" si="24"/>
        <v>0</v>
      </c>
      <c r="BD42" s="20">
        <f t="shared" si="25"/>
        <v>0</v>
      </c>
      <c r="BE42" s="20">
        <f t="shared" si="26"/>
        <v>0</v>
      </c>
      <c r="BF42" s="20">
        <f t="shared" si="27"/>
        <v>0</v>
      </c>
      <c r="BG42" s="20">
        <f t="shared" si="28"/>
        <v>0</v>
      </c>
      <c r="BH42" s="20">
        <f t="shared" si="29"/>
        <v>0</v>
      </c>
      <c r="BI42" s="20">
        <f t="shared" si="30"/>
        <v>0</v>
      </c>
      <c r="BJ42" s="21" t="s">
        <v>916</v>
      </c>
      <c r="BK42" s="17" t="s">
        <v>519</v>
      </c>
      <c r="BL42" s="21" t="s">
        <v>520</v>
      </c>
      <c r="BM42" s="41">
        <f t="shared" si="31"/>
        <v>5535</v>
      </c>
      <c r="BN42" s="37">
        <f t="shared" si="35"/>
        <v>4946</v>
      </c>
    </row>
    <row r="43" spans="1:66" ht="45">
      <c r="A43" s="8" t="s">
        <v>519</v>
      </c>
      <c r="B43" s="21" t="s">
        <v>520</v>
      </c>
      <c r="C43" s="60">
        <v>91</v>
      </c>
      <c r="D43" s="18" t="s">
        <v>522</v>
      </c>
      <c r="E43" s="40">
        <v>2750.21</v>
      </c>
      <c r="F43" s="19">
        <f t="shared" si="32"/>
        <v>275.02100000000002</v>
      </c>
      <c r="G43" s="19">
        <f t="shared" si="33"/>
        <v>52.253990000000002</v>
      </c>
      <c r="H43" s="19">
        <f t="shared" si="34"/>
        <v>3077.4849900000004</v>
      </c>
      <c r="J43" s="8">
        <f t="shared" si="3"/>
        <v>0</v>
      </c>
      <c r="K43" s="8"/>
      <c r="L43" s="8"/>
      <c r="M43" s="8"/>
      <c r="N43" s="8"/>
      <c r="O43" s="8"/>
      <c r="P43" s="8"/>
      <c r="Q43" s="8"/>
      <c r="R43" s="8"/>
      <c r="S43" s="8"/>
      <c r="T43" s="8"/>
      <c r="U43" s="8"/>
      <c r="V43" s="8"/>
      <c r="W43" s="8"/>
      <c r="X43" s="8"/>
      <c r="Y43" s="8"/>
      <c r="Z43" s="8"/>
      <c r="AA43" s="8"/>
      <c r="AB43" s="8"/>
      <c r="AC43" s="8"/>
      <c r="AD43" s="8"/>
      <c r="AE43" s="8"/>
      <c r="AF43" s="8"/>
      <c r="AG43" s="8"/>
      <c r="AH43" s="8"/>
      <c r="AI43" s="8"/>
      <c r="AK43" s="20">
        <f t="shared" si="6"/>
        <v>0</v>
      </c>
      <c r="AL43" s="20">
        <f t="shared" si="7"/>
        <v>0</v>
      </c>
      <c r="AM43" s="20">
        <f t="shared" si="8"/>
        <v>0</v>
      </c>
      <c r="AN43" s="20">
        <f t="shared" si="9"/>
        <v>0</v>
      </c>
      <c r="AO43" s="20">
        <f t="shared" si="10"/>
        <v>0</v>
      </c>
      <c r="AP43" s="20">
        <f t="shared" si="11"/>
        <v>0</v>
      </c>
      <c r="AQ43" s="20">
        <f t="shared" si="12"/>
        <v>0</v>
      </c>
      <c r="AR43" s="20">
        <f t="shared" si="13"/>
        <v>0</v>
      </c>
      <c r="AS43" s="20">
        <f t="shared" si="14"/>
        <v>0</v>
      </c>
      <c r="AT43" s="20">
        <f t="shared" si="15"/>
        <v>0</v>
      </c>
      <c r="AU43" s="20">
        <f t="shared" si="16"/>
        <v>0</v>
      </c>
      <c r="AV43" s="20">
        <f t="shared" si="17"/>
        <v>0</v>
      </c>
      <c r="AW43" s="20">
        <f t="shared" si="18"/>
        <v>0</v>
      </c>
      <c r="AX43" s="20">
        <f t="shared" si="19"/>
        <v>0</v>
      </c>
      <c r="AY43" s="20">
        <f t="shared" si="20"/>
        <v>0</v>
      </c>
      <c r="AZ43" s="20">
        <f t="shared" si="21"/>
        <v>0</v>
      </c>
      <c r="BA43" s="20">
        <f t="shared" si="22"/>
        <v>0</v>
      </c>
      <c r="BB43" s="20">
        <f t="shared" si="23"/>
        <v>0</v>
      </c>
      <c r="BC43" s="20">
        <f t="shared" si="24"/>
        <v>0</v>
      </c>
      <c r="BD43" s="20">
        <f t="shared" si="25"/>
        <v>0</v>
      </c>
      <c r="BE43" s="20">
        <f t="shared" si="26"/>
        <v>0</v>
      </c>
      <c r="BF43" s="20">
        <f t="shared" si="27"/>
        <v>0</v>
      </c>
      <c r="BG43" s="20">
        <f t="shared" si="28"/>
        <v>0</v>
      </c>
      <c r="BH43" s="20">
        <f t="shared" si="29"/>
        <v>0</v>
      </c>
      <c r="BI43" s="20">
        <f t="shared" si="30"/>
        <v>0</v>
      </c>
      <c r="BJ43" s="21" t="s">
        <v>916</v>
      </c>
      <c r="BK43" s="17" t="s">
        <v>519</v>
      </c>
      <c r="BL43" s="21" t="s">
        <v>520</v>
      </c>
      <c r="BM43" s="41">
        <f t="shared" si="31"/>
        <v>0</v>
      </c>
      <c r="BN43" s="37">
        <f t="shared" si="35"/>
        <v>0</v>
      </c>
    </row>
    <row r="44" spans="1:66" ht="33.75">
      <c r="A44" s="8" t="s">
        <v>523</v>
      </c>
      <c r="B44" s="17" t="s">
        <v>524</v>
      </c>
      <c r="C44" s="60">
        <v>92</v>
      </c>
      <c r="D44" s="18" t="s">
        <v>525</v>
      </c>
      <c r="E44" s="40">
        <v>3640.66</v>
      </c>
      <c r="F44" s="19">
        <f t="shared" si="32"/>
        <v>364.06600000000003</v>
      </c>
      <c r="G44" s="19">
        <f t="shared" si="33"/>
        <v>69.172540000000012</v>
      </c>
      <c r="H44" s="19">
        <f t="shared" si="34"/>
        <v>4073.8985399999997</v>
      </c>
      <c r="J44" s="8">
        <f t="shared" si="3"/>
        <v>2</v>
      </c>
      <c r="K44" s="8"/>
      <c r="L44" s="8"/>
      <c r="M44" s="8"/>
      <c r="N44" s="8"/>
      <c r="O44" s="8"/>
      <c r="P44" s="8"/>
      <c r="Q44" s="8"/>
      <c r="R44" s="8"/>
      <c r="S44" s="8"/>
      <c r="T44" s="8"/>
      <c r="U44" s="8"/>
      <c r="V44" s="8"/>
      <c r="W44" s="8"/>
      <c r="X44" s="8"/>
      <c r="Y44" s="8"/>
      <c r="Z44" s="8"/>
      <c r="AA44" s="8"/>
      <c r="AB44" s="8"/>
      <c r="AC44" s="8"/>
      <c r="AD44" s="8"/>
      <c r="AE44" s="8"/>
      <c r="AF44" s="8"/>
      <c r="AG44" s="8"/>
      <c r="AH44" s="8"/>
      <c r="AI44" s="8">
        <v>2</v>
      </c>
      <c r="AK44" s="20">
        <f t="shared" si="6"/>
        <v>0</v>
      </c>
      <c r="AL44" s="20">
        <f t="shared" si="7"/>
        <v>0</v>
      </c>
      <c r="AM44" s="20">
        <f t="shared" si="8"/>
        <v>0</v>
      </c>
      <c r="AN44" s="20">
        <f t="shared" si="9"/>
        <v>0</v>
      </c>
      <c r="AO44" s="20">
        <f t="shared" si="10"/>
        <v>0</v>
      </c>
      <c r="AP44" s="20">
        <f t="shared" si="11"/>
        <v>0</v>
      </c>
      <c r="AQ44" s="20">
        <f t="shared" si="12"/>
        <v>0</v>
      </c>
      <c r="AR44" s="20">
        <f t="shared" si="13"/>
        <v>0</v>
      </c>
      <c r="AS44" s="20">
        <f t="shared" si="14"/>
        <v>0</v>
      </c>
      <c r="AT44" s="20">
        <f t="shared" si="15"/>
        <v>0</v>
      </c>
      <c r="AU44" s="20">
        <f t="shared" si="16"/>
        <v>0</v>
      </c>
      <c r="AV44" s="20">
        <f t="shared" si="17"/>
        <v>0</v>
      </c>
      <c r="AW44" s="20">
        <f t="shared" si="18"/>
        <v>0</v>
      </c>
      <c r="AX44" s="20">
        <f t="shared" si="19"/>
        <v>0</v>
      </c>
      <c r="AY44" s="20">
        <f t="shared" si="20"/>
        <v>0</v>
      </c>
      <c r="AZ44" s="20">
        <f t="shared" si="21"/>
        <v>0</v>
      </c>
      <c r="BA44" s="20">
        <f t="shared" si="22"/>
        <v>0</v>
      </c>
      <c r="BB44" s="20">
        <f t="shared" si="23"/>
        <v>0</v>
      </c>
      <c r="BC44" s="20">
        <f t="shared" si="24"/>
        <v>0</v>
      </c>
      <c r="BD44" s="20">
        <f t="shared" si="25"/>
        <v>0</v>
      </c>
      <c r="BE44" s="20">
        <f t="shared" si="26"/>
        <v>0</v>
      </c>
      <c r="BF44" s="20">
        <f t="shared" si="27"/>
        <v>0</v>
      </c>
      <c r="BG44" s="20">
        <f t="shared" si="28"/>
        <v>0</v>
      </c>
      <c r="BH44" s="20">
        <f t="shared" si="29"/>
        <v>0</v>
      </c>
      <c r="BI44" s="20">
        <f t="shared" si="30"/>
        <v>8148</v>
      </c>
      <c r="BJ44" s="17" t="s">
        <v>938</v>
      </c>
      <c r="BK44" s="17" t="s">
        <v>523</v>
      </c>
      <c r="BL44" s="17" t="s">
        <v>524</v>
      </c>
      <c r="BM44" s="41">
        <f t="shared" si="31"/>
        <v>8148</v>
      </c>
      <c r="BN44" s="37">
        <f t="shared" si="35"/>
        <v>7281</v>
      </c>
    </row>
    <row r="45" spans="1:66" ht="34.5" customHeight="1">
      <c r="A45" s="8" t="s">
        <v>523</v>
      </c>
      <c r="B45" s="17" t="s">
        <v>524</v>
      </c>
      <c r="C45" s="60">
        <v>93</v>
      </c>
      <c r="D45" s="18" t="s">
        <v>526</v>
      </c>
      <c r="E45" s="40">
        <v>4473.55</v>
      </c>
      <c r="F45" s="19">
        <f t="shared" si="32"/>
        <v>447.35500000000002</v>
      </c>
      <c r="G45" s="19">
        <f t="shared" si="33"/>
        <v>84.997450000000001</v>
      </c>
      <c r="H45" s="19">
        <f t="shared" si="34"/>
        <v>5005.9024500000005</v>
      </c>
      <c r="J45" s="8">
        <f t="shared" si="3"/>
        <v>8</v>
      </c>
      <c r="K45" s="8"/>
      <c r="L45" s="8"/>
      <c r="M45" s="8"/>
      <c r="N45" s="8"/>
      <c r="O45" s="8"/>
      <c r="P45" s="8"/>
      <c r="Q45" s="8"/>
      <c r="R45" s="8"/>
      <c r="S45" s="8"/>
      <c r="T45" s="8">
        <v>8</v>
      </c>
      <c r="U45" s="8"/>
      <c r="V45" s="8"/>
      <c r="W45" s="8"/>
      <c r="X45" s="8"/>
      <c r="Y45" s="8"/>
      <c r="Z45" s="8"/>
      <c r="AA45" s="8"/>
      <c r="AB45" s="8"/>
      <c r="AC45" s="8"/>
      <c r="AD45" s="8"/>
      <c r="AE45" s="8"/>
      <c r="AF45" s="8"/>
      <c r="AG45" s="8"/>
      <c r="AH45" s="8"/>
      <c r="AI45" s="8"/>
      <c r="AK45" s="20">
        <f t="shared" si="6"/>
        <v>0</v>
      </c>
      <c r="AL45" s="20">
        <f t="shared" si="7"/>
        <v>0</v>
      </c>
      <c r="AM45" s="20">
        <f t="shared" si="8"/>
        <v>0</v>
      </c>
      <c r="AN45" s="20">
        <f t="shared" si="9"/>
        <v>0</v>
      </c>
      <c r="AO45" s="20">
        <f t="shared" si="10"/>
        <v>0</v>
      </c>
      <c r="AP45" s="20">
        <f t="shared" si="11"/>
        <v>0</v>
      </c>
      <c r="AQ45" s="20">
        <f t="shared" si="12"/>
        <v>0</v>
      </c>
      <c r="AR45" s="20">
        <f t="shared" si="13"/>
        <v>0</v>
      </c>
      <c r="AS45" s="20">
        <f t="shared" si="14"/>
        <v>0</v>
      </c>
      <c r="AT45" s="20">
        <f t="shared" si="15"/>
        <v>40047</v>
      </c>
      <c r="AU45" s="20">
        <f t="shared" si="16"/>
        <v>0</v>
      </c>
      <c r="AV45" s="20">
        <f t="shared" si="17"/>
        <v>0</v>
      </c>
      <c r="AW45" s="20">
        <f t="shared" si="18"/>
        <v>0</v>
      </c>
      <c r="AX45" s="20">
        <f t="shared" si="19"/>
        <v>0</v>
      </c>
      <c r="AY45" s="20">
        <f t="shared" si="20"/>
        <v>0</v>
      </c>
      <c r="AZ45" s="20">
        <f t="shared" si="21"/>
        <v>0</v>
      </c>
      <c r="BA45" s="20">
        <f t="shared" si="22"/>
        <v>0</v>
      </c>
      <c r="BB45" s="20">
        <f t="shared" si="23"/>
        <v>0</v>
      </c>
      <c r="BC45" s="20">
        <f t="shared" si="24"/>
        <v>0</v>
      </c>
      <c r="BD45" s="20">
        <f t="shared" si="25"/>
        <v>0</v>
      </c>
      <c r="BE45" s="20">
        <f t="shared" si="26"/>
        <v>0</v>
      </c>
      <c r="BF45" s="20">
        <f t="shared" si="27"/>
        <v>0</v>
      </c>
      <c r="BG45" s="20">
        <f t="shared" si="28"/>
        <v>0</v>
      </c>
      <c r="BH45" s="20">
        <f t="shared" si="29"/>
        <v>0</v>
      </c>
      <c r="BI45" s="20">
        <f t="shared" si="30"/>
        <v>0</v>
      </c>
      <c r="BJ45" s="17" t="s">
        <v>938</v>
      </c>
      <c r="BK45" s="17" t="s">
        <v>523</v>
      </c>
      <c r="BL45" s="17" t="s">
        <v>524</v>
      </c>
      <c r="BM45" s="41">
        <f t="shared" si="31"/>
        <v>40047</v>
      </c>
      <c r="BN45" s="37">
        <f t="shared" si="35"/>
        <v>35788</v>
      </c>
    </row>
    <row r="46" spans="1:66" ht="34.5" customHeight="1">
      <c r="A46" s="8" t="s">
        <v>523</v>
      </c>
      <c r="B46" s="17" t="s">
        <v>524</v>
      </c>
      <c r="C46" s="60">
        <v>94</v>
      </c>
      <c r="D46" s="18" t="s">
        <v>527</v>
      </c>
      <c r="E46" s="40">
        <v>4615.92</v>
      </c>
      <c r="F46" s="19">
        <f t="shared" si="32"/>
        <v>461.59200000000004</v>
      </c>
      <c r="G46" s="19">
        <f t="shared" si="33"/>
        <v>87.702480000000008</v>
      </c>
      <c r="H46" s="19">
        <f t="shared" si="34"/>
        <v>5165.2144799999996</v>
      </c>
      <c r="J46" s="8">
        <f t="shared" si="3"/>
        <v>77</v>
      </c>
      <c r="K46" s="8">
        <v>20</v>
      </c>
      <c r="L46" s="8">
        <v>8</v>
      </c>
      <c r="M46" s="8">
        <v>2</v>
      </c>
      <c r="N46" s="8"/>
      <c r="O46" s="8"/>
      <c r="P46" s="8">
        <v>8</v>
      </c>
      <c r="Q46" s="8"/>
      <c r="R46" s="8"/>
      <c r="S46" s="8"/>
      <c r="T46" s="8">
        <v>8</v>
      </c>
      <c r="U46" s="8">
        <v>8</v>
      </c>
      <c r="V46" s="8">
        <v>8</v>
      </c>
      <c r="W46" s="8"/>
      <c r="X46" s="8"/>
      <c r="Y46" s="8">
        <v>4</v>
      </c>
      <c r="Z46" s="8">
        <v>6</v>
      </c>
      <c r="AA46" s="8">
        <v>4</v>
      </c>
      <c r="AB46" s="8"/>
      <c r="AC46" s="8"/>
      <c r="AD46" s="8">
        <v>1</v>
      </c>
      <c r="AE46" s="8"/>
      <c r="AF46" s="8"/>
      <c r="AG46" s="8"/>
      <c r="AH46" s="8"/>
      <c r="AI46" s="8"/>
      <c r="AK46" s="20">
        <f t="shared" si="6"/>
        <v>103304</v>
      </c>
      <c r="AL46" s="20">
        <f t="shared" si="7"/>
        <v>41322</v>
      </c>
      <c r="AM46" s="20">
        <f t="shared" si="8"/>
        <v>10330</v>
      </c>
      <c r="AN46" s="20">
        <f t="shared" si="9"/>
        <v>0</v>
      </c>
      <c r="AO46" s="20">
        <f t="shared" si="10"/>
        <v>0</v>
      </c>
      <c r="AP46" s="20">
        <f t="shared" si="11"/>
        <v>41322</v>
      </c>
      <c r="AQ46" s="20">
        <f t="shared" si="12"/>
        <v>0</v>
      </c>
      <c r="AR46" s="20">
        <f t="shared" si="13"/>
        <v>0</v>
      </c>
      <c r="AS46" s="20">
        <f t="shared" si="14"/>
        <v>0</v>
      </c>
      <c r="AT46" s="20">
        <f t="shared" si="15"/>
        <v>41322</v>
      </c>
      <c r="AU46" s="20">
        <f t="shared" si="16"/>
        <v>41322</v>
      </c>
      <c r="AV46" s="20">
        <f t="shared" si="17"/>
        <v>41322</v>
      </c>
      <c r="AW46" s="20">
        <f t="shared" si="18"/>
        <v>0</v>
      </c>
      <c r="AX46" s="20">
        <f t="shared" si="19"/>
        <v>0</v>
      </c>
      <c r="AY46" s="20">
        <f t="shared" si="20"/>
        <v>20661</v>
      </c>
      <c r="AZ46" s="20">
        <f t="shared" si="21"/>
        <v>30991</v>
      </c>
      <c r="BA46" s="20">
        <f t="shared" si="22"/>
        <v>20661</v>
      </c>
      <c r="BB46" s="20">
        <f t="shared" si="23"/>
        <v>0</v>
      </c>
      <c r="BC46" s="20">
        <f t="shared" si="24"/>
        <v>0</v>
      </c>
      <c r="BD46" s="20">
        <f t="shared" si="25"/>
        <v>5165</v>
      </c>
      <c r="BE46" s="20">
        <f t="shared" si="26"/>
        <v>0</v>
      </c>
      <c r="BF46" s="20">
        <f t="shared" si="27"/>
        <v>0</v>
      </c>
      <c r="BG46" s="20">
        <f t="shared" si="28"/>
        <v>0</v>
      </c>
      <c r="BH46" s="20">
        <f t="shared" si="29"/>
        <v>0</v>
      </c>
      <c r="BI46" s="20">
        <f t="shared" si="30"/>
        <v>0</v>
      </c>
      <c r="BJ46" s="17" t="s">
        <v>938</v>
      </c>
      <c r="BK46" s="17" t="s">
        <v>523</v>
      </c>
      <c r="BL46" s="17" t="s">
        <v>524</v>
      </c>
      <c r="BM46" s="41">
        <f t="shared" si="31"/>
        <v>397722</v>
      </c>
      <c r="BN46" s="37">
        <f t="shared" si="35"/>
        <v>355426</v>
      </c>
    </row>
    <row r="47" spans="1:66" ht="33.75">
      <c r="A47" s="8" t="s">
        <v>516</v>
      </c>
      <c r="B47" s="8" t="s">
        <v>517</v>
      </c>
      <c r="C47" s="60">
        <v>96</v>
      </c>
      <c r="D47" s="18" t="s">
        <v>528</v>
      </c>
      <c r="E47" s="40">
        <v>2769.29</v>
      </c>
      <c r="F47" s="19">
        <f t="shared" si="32"/>
        <v>276.92900000000003</v>
      </c>
      <c r="G47" s="19">
        <f t="shared" si="33"/>
        <v>52.616510000000005</v>
      </c>
      <c r="H47" s="19">
        <f t="shared" si="34"/>
        <v>3098.8355099999999</v>
      </c>
      <c r="J47" s="8">
        <f t="shared" si="3"/>
        <v>5</v>
      </c>
      <c r="K47" s="8"/>
      <c r="L47" s="8"/>
      <c r="M47" s="8"/>
      <c r="N47" s="8"/>
      <c r="O47" s="8"/>
      <c r="P47" s="8"/>
      <c r="Q47" s="8"/>
      <c r="R47" s="8"/>
      <c r="S47" s="8"/>
      <c r="T47" s="8"/>
      <c r="U47" s="8"/>
      <c r="V47" s="8"/>
      <c r="W47" s="8"/>
      <c r="X47" s="8"/>
      <c r="Y47" s="8"/>
      <c r="Z47" s="8"/>
      <c r="AA47" s="8"/>
      <c r="AB47" s="8">
        <v>5</v>
      </c>
      <c r="AC47" s="8"/>
      <c r="AD47" s="8"/>
      <c r="AE47" s="8"/>
      <c r="AF47" s="8"/>
      <c r="AG47" s="8"/>
      <c r="AH47" s="8"/>
      <c r="AI47" s="8"/>
      <c r="AK47" s="20">
        <f t="shared" si="6"/>
        <v>0</v>
      </c>
      <c r="AL47" s="20">
        <f t="shared" si="7"/>
        <v>0</v>
      </c>
      <c r="AM47" s="20">
        <f t="shared" si="8"/>
        <v>0</v>
      </c>
      <c r="AN47" s="20">
        <f t="shared" si="9"/>
        <v>0</v>
      </c>
      <c r="AO47" s="20">
        <f t="shared" si="10"/>
        <v>0</v>
      </c>
      <c r="AP47" s="20">
        <f t="shared" si="11"/>
        <v>0</v>
      </c>
      <c r="AQ47" s="20">
        <f t="shared" si="12"/>
        <v>0</v>
      </c>
      <c r="AR47" s="20">
        <f t="shared" si="13"/>
        <v>0</v>
      </c>
      <c r="AS47" s="20">
        <f t="shared" si="14"/>
        <v>0</v>
      </c>
      <c r="AT47" s="20">
        <f t="shared" si="15"/>
        <v>0</v>
      </c>
      <c r="AU47" s="20">
        <f t="shared" si="16"/>
        <v>0</v>
      </c>
      <c r="AV47" s="20">
        <f t="shared" si="17"/>
        <v>0</v>
      </c>
      <c r="AW47" s="20">
        <f t="shared" si="18"/>
        <v>0</v>
      </c>
      <c r="AX47" s="20">
        <f t="shared" si="19"/>
        <v>0</v>
      </c>
      <c r="AY47" s="20">
        <f t="shared" si="20"/>
        <v>0</v>
      </c>
      <c r="AZ47" s="20">
        <f t="shared" si="21"/>
        <v>0</v>
      </c>
      <c r="BA47" s="20">
        <f t="shared" si="22"/>
        <v>0</v>
      </c>
      <c r="BB47" s="20">
        <f t="shared" si="23"/>
        <v>15494</v>
      </c>
      <c r="BC47" s="20">
        <f t="shared" si="24"/>
        <v>0</v>
      </c>
      <c r="BD47" s="20">
        <f t="shared" si="25"/>
        <v>0</v>
      </c>
      <c r="BE47" s="20">
        <f t="shared" si="26"/>
        <v>0</v>
      </c>
      <c r="BF47" s="20">
        <f t="shared" si="27"/>
        <v>0</v>
      </c>
      <c r="BG47" s="20">
        <f t="shared" si="28"/>
        <v>0</v>
      </c>
      <c r="BH47" s="20">
        <f t="shared" si="29"/>
        <v>0</v>
      </c>
      <c r="BI47" s="20">
        <f t="shared" si="30"/>
        <v>0</v>
      </c>
      <c r="BJ47" s="17" t="s">
        <v>915</v>
      </c>
      <c r="BK47" s="17" t="s">
        <v>516</v>
      </c>
      <c r="BL47" s="17" t="s">
        <v>517</v>
      </c>
      <c r="BM47" s="41">
        <f t="shared" si="31"/>
        <v>15494</v>
      </c>
      <c r="BN47" s="37">
        <f t="shared" si="35"/>
        <v>13846</v>
      </c>
    </row>
    <row r="48" spans="1:66" ht="45">
      <c r="A48" s="8" t="s">
        <v>519</v>
      </c>
      <c r="B48" s="21" t="s">
        <v>520</v>
      </c>
      <c r="C48" s="60">
        <v>98</v>
      </c>
      <c r="D48" s="18" t="s">
        <v>529</v>
      </c>
      <c r="E48" s="40">
        <v>2409.96</v>
      </c>
      <c r="F48" s="19">
        <f t="shared" si="32"/>
        <v>240.99600000000001</v>
      </c>
      <c r="G48" s="19">
        <f t="shared" si="33"/>
        <v>45.789239999999999</v>
      </c>
      <c r="H48" s="19">
        <f t="shared" si="34"/>
        <v>2696.7452400000002</v>
      </c>
      <c r="J48" s="8">
        <f t="shared" si="3"/>
        <v>0</v>
      </c>
      <c r="K48" s="8"/>
      <c r="L48" s="8"/>
      <c r="M48" s="8"/>
      <c r="N48" s="8"/>
      <c r="O48" s="8"/>
      <c r="P48" s="8"/>
      <c r="Q48" s="8"/>
      <c r="R48" s="8"/>
      <c r="S48" s="8"/>
      <c r="T48" s="8"/>
      <c r="U48" s="8"/>
      <c r="V48" s="8"/>
      <c r="W48" s="8"/>
      <c r="X48" s="8"/>
      <c r="Y48" s="8"/>
      <c r="Z48" s="8"/>
      <c r="AA48" s="8"/>
      <c r="AB48" s="8"/>
      <c r="AC48" s="8"/>
      <c r="AD48" s="8"/>
      <c r="AE48" s="8"/>
      <c r="AF48" s="8"/>
      <c r="AG48" s="8"/>
      <c r="AH48" s="8"/>
      <c r="AI48" s="8"/>
      <c r="AK48" s="20">
        <f t="shared" si="6"/>
        <v>0</v>
      </c>
      <c r="AL48" s="20">
        <f t="shared" si="7"/>
        <v>0</v>
      </c>
      <c r="AM48" s="20">
        <f t="shared" si="8"/>
        <v>0</v>
      </c>
      <c r="AN48" s="20">
        <f t="shared" si="9"/>
        <v>0</v>
      </c>
      <c r="AO48" s="20">
        <f t="shared" si="10"/>
        <v>0</v>
      </c>
      <c r="AP48" s="20">
        <f t="shared" si="11"/>
        <v>0</v>
      </c>
      <c r="AQ48" s="20">
        <f t="shared" si="12"/>
        <v>0</v>
      </c>
      <c r="AR48" s="20">
        <f t="shared" si="13"/>
        <v>0</v>
      </c>
      <c r="AS48" s="20">
        <f t="shared" si="14"/>
        <v>0</v>
      </c>
      <c r="AT48" s="20">
        <f t="shared" si="15"/>
        <v>0</v>
      </c>
      <c r="AU48" s="20">
        <f t="shared" si="16"/>
        <v>0</v>
      </c>
      <c r="AV48" s="20">
        <f t="shared" si="17"/>
        <v>0</v>
      </c>
      <c r="AW48" s="20">
        <f t="shared" si="18"/>
        <v>0</v>
      </c>
      <c r="AX48" s="20">
        <f t="shared" si="19"/>
        <v>0</v>
      </c>
      <c r="AY48" s="20">
        <f t="shared" si="20"/>
        <v>0</v>
      </c>
      <c r="AZ48" s="20">
        <f t="shared" si="21"/>
        <v>0</v>
      </c>
      <c r="BA48" s="20">
        <f t="shared" si="22"/>
        <v>0</v>
      </c>
      <c r="BB48" s="20">
        <f t="shared" si="23"/>
        <v>0</v>
      </c>
      <c r="BC48" s="20">
        <f t="shared" si="24"/>
        <v>0</v>
      </c>
      <c r="BD48" s="20">
        <f t="shared" si="25"/>
        <v>0</v>
      </c>
      <c r="BE48" s="20">
        <f t="shared" si="26"/>
        <v>0</v>
      </c>
      <c r="BF48" s="20">
        <f t="shared" si="27"/>
        <v>0</v>
      </c>
      <c r="BG48" s="20">
        <f t="shared" si="28"/>
        <v>0</v>
      </c>
      <c r="BH48" s="20">
        <f t="shared" si="29"/>
        <v>0</v>
      </c>
      <c r="BI48" s="20">
        <f t="shared" si="30"/>
        <v>0</v>
      </c>
      <c r="BJ48" s="21" t="s">
        <v>916</v>
      </c>
      <c r="BK48" s="17" t="s">
        <v>519</v>
      </c>
      <c r="BL48" s="21" t="s">
        <v>520</v>
      </c>
      <c r="BM48" s="41">
        <f t="shared" si="31"/>
        <v>0</v>
      </c>
      <c r="BN48" s="37">
        <f t="shared" si="35"/>
        <v>0</v>
      </c>
    </row>
    <row r="49" spans="1:66" ht="33.75">
      <c r="A49" s="8" t="s">
        <v>490</v>
      </c>
      <c r="B49" s="22" t="s">
        <v>491</v>
      </c>
      <c r="C49" s="60">
        <v>99</v>
      </c>
      <c r="D49" s="18" t="s">
        <v>530</v>
      </c>
      <c r="E49" s="40">
        <v>10246.370000000001</v>
      </c>
      <c r="F49" s="19">
        <f t="shared" si="32"/>
        <v>1024.6370000000002</v>
      </c>
      <c r="G49" s="19">
        <f t="shared" si="33"/>
        <v>194.68103000000002</v>
      </c>
      <c r="H49" s="19">
        <f t="shared" si="34"/>
        <v>11465.688030000001</v>
      </c>
      <c r="J49" s="8">
        <f t="shared" si="3"/>
        <v>25</v>
      </c>
      <c r="K49" s="8">
        <v>20</v>
      </c>
      <c r="L49" s="8">
        <v>5</v>
      </c>
      <c r="M49" s="8"/>
      <c r="N49" s="8"/>
      <c r="O49" s="8"/>
      <c r="P49" s="8"/>
      <c r="Q49" s="8"/>
      <c r="R49" s="8"/>
      <c r="S49" s="8"/>
      <c r="T49" s="8"/>
      <c r="U49" s="8"/>
      <c r="V49" s="8"/>
      <c r="W49" s="8"/>
      <c r="X49" s="8"/>
      <c r="Y49" s="8"/>
      <c r="Z49" s="8"/>
      <c r="AA49" s="8"/>
      <c r="AB49" s="8"/>
      <c r="AC49" s="8"/>
      <c r="AD49" s="8"/>
      <c r="AE49" s="8"/>
      <c r="AF49" s="8"/>
      <c r="AG49" s="8"/>
      <c r="AH49" s="8"/>
      <c r="AI49" s="8"/>
      <c r="AK49" s="215">
        <f>+ROUND(K49*$H49,0)+187136</f>
        <v>416450</v>
      </c>
      <c r="AL49" s="20">
        <f t="shared" si="7"/>
        <v>57328</v>
      </c>
      <c r="AM49" s="20">
        <f t="shared" si="8"/>
        <v>0</v>
      </c>
      <c r="AN49" s="20">
        <f t="shared" si="9"/>
        <v>0</v>
      </c>
      <c r="AO49" s="20">
        <f t="shared" si="10"/>
        <v>0</v>
      </c>
      <c r="AP49" s="20">
        <f t="shared" si="11"/>
        <v>0</v>
      </c>
      <c r="AQ49" s="20">
        <f t="shared" si="12"/>
        <v>0</v>
      </c>
      <c r="AR49" s="20">
        <f t="shared" si="13"/>
        <v>0</v>
      </c>
      <c r="AS49" s="20">
        <f t="shared" si="14"/>
        <v>0</v>
      </c>
      <c r="AT49" s="20">
        <f t="shared" si="15"/>
        <v>0</v>
      </c>
      <c r="AU49" s="20">
        <f t="shared" si="16"/>
        <v>0</v>
      </c>
      <c r="AV49" s="20">
        <f t="shared" si="17"/>
        <v>0</v>
      </c>
      <c r="AW49" s="20">
        <f t="shared" si="18"/>
        <v>0</v>
      </c>
      <c r="AX49" s="20">
        <f t="shared" si="19"/>
        <v>0</v>
      </c>
      <c r="AY49" s="20">
        <f t="shared" si="20"/>
        <v>0</v>
      </c>
      <c r="AZ49" s="20">
        <f t="shared" si="21"/>
        <v>0</v>
      </c>
      <c r="BA49" s="20">
        <f t="shared" si="22"/>
        <v>0</v>
      </c>
      <c r="BB49" s="20">
        <f t="shared" si="23"/>
        <v>0</v>
      </c>
      <c r="BC49" s="20">
        <f t="shared" si="24"/>
        <v>0</v>
      </c>
      <c r="BD49" s="20">
        <f t="shared" si="25"/>
        <v>0</v>
      </c>
      <c r="BE49" s="20">
        <f t="shared" si="26"/>
        <v>0</v>
      </c>
      <c r="BF49" s="20">
        <f t="shared" si="27"/>
        <v>0</v>
      </c>
      <c r="BG49" s="20">
        <f t="shared" si="28"/>
        <v>0</v>
      </c>
      <c r="BH49" s="20">
        <f t="shared" si="29"/>
        <v>0</v>
      </c>
      <c r="BI49" s="20">
        <f t="shared" si="30"/>
        <v>0</v>
      </c>
      <c r="BJ49" s="23" t="s">
        <v>912</v>
      </c>
      <c r="BK49" s="17" t="s">
        <v>490</v>
      </c>
      <c r="BL49" s="23" t="s">
        <v>491</v>
      </c>
      <c r="BM49" s="41">
        <f t="shared" si="31"/>
        <v>473778</v>
      </c>
      <c r="BN49" s="37">
        <f t="shared" si="35"/>
        <v>256159</v>
      </c>
    </row>
    <row r="50" spans="1:66" ht="33.75">
      <c r="A50" s="8" t="s">
        <v>490</v>
      </c>
      <c r="B50" s="22" t="s">
        <v>491</v>
      </c>
      <c r="C50" s="60">
        <v>100</v>
      </c>
      <c r="D50" s="18" t="s">
        <v>531</v>
      </c>
      <c r="E50" s="40">
        <v>10246.370000000001</v>
      </c>
      <c r="F50" s="19">
        <f t="shared" si="32"/>
        <v>1024.6370000000002</v>
      </c>
      <c r="G50" s="19">
        <f t="shared" si="33"/>
        <v>194.68103000000002</v>
      </c>
      <c r="H50" s="19">
        <f t="shared" si="34"/>
        <v>11465.688030000001</v>
      </c>
      <c r="J50" s="8">
        <f t="shared" si="3"/>
        <v>5</v>
      </c>
      <c r="K50" s="8"/>
      <c r="L50" s="8">
        <v>5</v>
      </c>
      <c r="M50" s="8"/>
      <c r="N50" s="8"/>
      <c r="O50" s="8"/>
      <c r="P50" s="8"/>
      <c r="Q50" s="8"/>
      <c r="R50" s="8"/>
      <c r="S50" s="8"/>
      <c r="T50" s="8"/>
      <c r="U50" s="8"/>
      <c r="V50" s="8"/>
      <c r="W50" s="8"/>
      <c r="X50" s="8"/>
      <c r="Y50" s="8"/>
      <c r="Z50" s="8"/>
      <c r="AA50" s="8"/>
      <c r="AB50" s="8"/>
      <c r="AC50" s="8"/>
      <c r="AD50" s="8"/>
      <c r="AE50" s="8"/>
      <c r="AF50" s="8"/>
      <c r="AG50" s="8"/>
      <c r="AH50" s="8"/>
      <c r="AI50" s="8"/>
      <c r="AK50" s="20">
        <f t="shared" si="6"/>
        <v>0</v>
      </c>
      <c r="AL50" s="20">
        <f t="shared" si="7"/>
        <v>57328</v>
      </c>
      <c r="AM50" s="20">
        <f t="shared" si="8"/>
        <v>0</v>
      </c>
      <c r="AN50" s="20">
        <f t="shared" si="9"/>
        <v>0</v>
      </c>
      <c r="AO50" s="20">
        <f t="shared" si="10"/>
        <v>0</v>
      </c>
      <c r="AP50" s="20">
        <f t="shared" si="11"/>
        <v>0</v>
      </c>
      <c r="AQ50" s="20">
        <f t="shared" si="12"/>
        <v>0</v>
      </c>
      <c r="AR50" s="20">
        <f t="shared" si="13"/>
        <v>0</v>
      </c>
      <c r="AS50" s="20">
        <f t="shared" si="14"/>
        <v>0</v>
      </c>
      <c r="AT50" s="20">
        <f t="shared" si="15"/>
        <v>0</v>
      </c>
      <c r="AU50" s="20">
        <f t="shared" si="16"/>
        <v>0</v>
      </c>
      <c r="AV50" s="20">
        <f t="shared" si="17"/>
        <v>0</v>
      </c>
      <c r="AW50" s="20">
        <f t="shared" si="18"/>
        <v>0</v>
      </c>
      <c r="AX50" s="20">
        <f t="shared" si="19"/>
        <v>0</v>
      </c>
      <c r="AY50" s="20">
        <f t="shared" si="20"/>
        <v>0</v>
      </c>
      <c r="AZ50" s="20">
        <f t="shared" si="21"/>
        <v>0</v>
      </c>
      <c r="BA50" s="20">
        <f t="shared" si="22"/>
        <v>0</v>
      </c>
      <c r="BB50" s="20">
        <f t="shared" si="23"/>
        <v>0</v>
      </c>
      <c r="BC50" s="20">
        <f t="shared" si="24"/>
        <v>0</v>
      </c>
      <c r="BD50" s="20">
        <f t="shared" si="25"/>
        <v>0</v>
      </c>
      <c r="BE50" s="20">
        <f t="shared" si="26"/>
        <v>0</v>
      </c>
      <c r="BF50" s="20">
        <f t="shared" si="27"/>
        <v>0</v>
      </c>
      <c r="BG50" s="20">
        <f t="shared" si="28"/>
        <v>0</v>
      </c>
      <c r="BH50" s="20">
        <f t="shared" si="29"/>
        <v>0</v>
      </c>
      <c r="BI50" s="20">
        <f t="shared" si="30"/>
        <v>0</v>
      </c>
      <c r="BJ50" s="23" t="s">
        <v>912</v>
      </c>
      <c r="BK50" s="17" t="s">
        <v>490</v>
      </c>
      <c r="BL50" s="23" t="s">
        <v>491</v>
      </c>
      <c r="BM50" s="41">
        <f t="shared" si="31"/>
        <v>57328</v>
      </c>
      <c r="BN50" s="37">
        <f t="shared" si="35"/>
        <v>51232</v>
      </c>
    </row>
    <row r="51" spans="1:66" ht="33.75">
      <c r="A51" s="8" t="s">
        <v>490</v>
      </c>
      <c r="B51" s="22" t="s">
        <v>491</v>
      </c>
      <c r="C51" s="60">
        <v>101</v>
      </c>
      <c r="D51" s="18" t="s">
        <v>532</v>
      </c>
      <c r="E51" s="40">
        <v>13434.85</v>
      </c>
      <c r="F51" s="19">
        <f t="shared" si="32"/>
        <v>1343.4850000000001</v>
      </c>
      <c r="G51" s="19">
        <f t="shared" si="33"/>
        <v>255.26215000000002</v>
      </c>
      <c r="H51" s="19">
        <f t="shared" si="34"/>
        <v>15033.597150000001</v>
      </c>
      <c r="J51" s="8">
        <f t="shared" si="3"/>
        <v>0</v>
      </c>
      <c r="K51" s="5"/>
      <c r="L51" s="5"/>
      <c r="M51" s="5"/>
      <c r="N51" s="5"/>
      <c r="O51" s="5"/>
      <c r="P51" s="5"/>
      <c r="Q51" s="5"/>
      <c r="R51" s="5"/>
      <c r="S51" s="5"/>
      <c r="T51" s="5"/>
      <c r="U51" s="5"/>
      <c r="V51" s="5"/>
      <c r="W51" s="5"/>
      <c r="X51" s="5"/>
      <c r="Y51" s="5"/>
      <c r="Z51" s="5"/>
      <c r="AA51" s="5"/>
      <c r="AB51" s="5"/>
      <c r="AC51" s="5"/>
      <c r="AD51" s="5"/>
      <c r="AE51" s="5"/>
      <c r="AF51" s="5"/>
      <c r="AG51" s="5"/>
      <c r="AH51" s="5"/>
      <c r="AI51" s="5"/>
      <c r="AK51" s="20">
        <f t="shared" si="6"/>
        <v>0</v>
      </c>
      <c r="AL51" s="20">
        <f t="shared" si="7"/>
        <v>0</v>
      </c>
      <c r="AM51" s="20">
        <f t="shared" si="8"/>
        <v>0</v>
      </c>
      <c r="AN51" s="20">
        <f t="shared" si="9"/>
        <v>0</v>
      </c>
      <c r="AO51" s="20">
        <f t="shared" si="10"/>
        <v>0</v>
      </c>
      <c r="AP51" s="20">
        <f t="shared" si="11"/>
        <v>0</v>
      </c>
      <c r="AQ51" s="20">
        <f t="shared" si="12"/>
        <v>0</v>
      </c>
      <c r="AR51" s="20">
        <f t="shared" si="13"/>
        <v>0</v>
      </c>
      <c r="AS51" s="20">
        <f t="shared" si="14"/>
        <v>0</v>
      </c>
      <c r="AT51" s="20">
        <f t="shared" si="15"/>
        <v>0</v>
      </c>
      <c r="AU51" s="20">
        <f t="shared" si="16"/>
        <v>0</v>
      </c>
      <c r="AV51" s="20">
        <f t="shared" si="17"/>
        <v>0</v>
      </c>
      <c r="AW51" s="20">
        <f t="shared" si="18"/>
        <v>0</v>
      </c>
      <c r="AX51" s="20">
        <f t="shared" si="19"/>
        <v>0</v>
      </c>
      <c r="AY51" s="20">
        <f t="shared" si="20"/>
        <v>0</v>
      </c>
      <c r="AZ51" s="20">
        <f t="shared" si="21"/>
        <v>0</v>
      </c>
      <c r="BA51" s="20">
        <f t="shared" si="22"/>
        <v>0</v>
      </c>
      <c r="BB51" s="20">
        <f t="shared" si="23"/>
        <v>0</v>
      </c>
      <c r="BC51" s="20">
        <f t="shared" si="24"/>
        <v>0</v>
      </c>
      <c r="BD51" s="20">
        <f t="shared" si="25"/>
        <v>0</v>
      </c>
      <c r="BE51" s="20">
        <f t="shared" si="26"/>
        <v>0</v>
      </c>
      <c r="BF51" s="20">
        <f t="shared" si="27"/>
        <v>0</v>
      </c>
      <c r="BG51" s="20">
        <f t="shared" si="28"/>
        <v>0</v>
      </c>
      <c r="BH51" s="20">
        <f t="shared" si="29"/>
        <v>0</v>
      </c>
      <c r="BI51" s="20">
        <f t="shared" si="30"/>
        <v>0</v>
      </c>
      <c r="BJ51" s="23" t="s">
        <v>912</v>
      </c>
      <c r="BK51" s="17" t="s">
        <v>490</v>
      </c>
      <c r="BL51" s="23" t="s">
        <v>491</v>
      </c>
      <c r="BM51" s="41">
        <f t="shared" si="31"/>
        <v>0</v>
      </c>
      <c r="BN51" s="37">
        <f t="shared" si="35"/>
        <v>0</v>
      </c>
    </row>
    <row r="52" spans="1:66" ht="33.75">
      <c r="A52" s="8" t="s">
        <v>490</v>
      </c>
      <c r="B52" s="22" t="s">
        <v>491</v>
      </c>
      <c r="C52" s="60">
        <v>102</v>
      </c>
      <c r="D52" s="18" t="s">
        <v>533</v>
      </c>
      <c r="E52" s="40">
        <v>13434.85</v>
      </c>
      <c r="F52" s="19">
        <f t="shared" si="32"/>
        <v>1343.4850000000001</v>
      </c>
      <c r="G52" s="19">
        <f t="shared" si="33"/>
        <v>255.26215000000002</v>
      </c>
      <c r="H52" s="19">
        <f t="shared" si="34"/>
        <v>15033.597150000001</v>
      </c>
      <c r="J52" s="8">
        <f t="shared" si="3"/>
        <v>2</v>
      </c>
      <c r="K52" s="8"/>
      <c r="L52" s="8"/>
      <c r="M52" s="8"/>
      <c r="N52" s="8"/>
      <c r="O52" s="8"/>
      <c r="P52" s="8"/>
      <c r="Q52" s="8"/>
      <c r="R52" s="8"/>
      <c r="S52" s="8"/>
      <c r="T52" s="8"/>
      <c r="U52" s="8"/>
      <c r="V52" s="8"/>
      <c r="W52" s="8"/>
      <c r="X52" s="8">
        <v>2</v>
      </c>
      <c r="Y52" s="8"/>
      <c r="Z52" s="8"/>
      <c r="AA52" s="8"/>
      <c r="AB52" s="8"/>
      <c r="AC52" s="8"/>
      <c r="AD52" s="8"/>
      <c r="AE52" s="8"/>
      <c r="AF52" s="8"/>
      <c r="AG52" s="8"/>
      <c r="AH52" s="8"/>
      <c r="AI52" s="8"/>
      <c r="AK52" s="20">
        <f t="shared" si="6"/>
        <v>0</v>
      </c>
      <c r="AL52" s="20">
        <f t="shared" si="7"/>
        <v>0</v>
      </c>
      <c r="AM52" s="20">
        <f t="shared" si="8"/>
        <v>0</v>
      </c>
      <c r="AN52" s="20">
        <f t="shared" si="9"/>
        <v>0</v>
      </c>
      <c r="AO52" s="20">
        <f t="shared" si="10"/>
        <v>0</v>
      </c>
      <c r="AP52" s="20">
        <f t="shared" si="11"/>
        <v>0</v>
      </c>
      <c r="AQ52" s="20">
        <f t="shared" si="12"/>
        <v>0</v>
      </c>
      <c r="AR52" s="20">
        <f t="shared" si="13"/>
        <v>0</v>
      </c>
      <c r="AS52" s="20">
        <f t="shared" si="14"/>
        <v>0</v>
      </c>
      <c r="AT52" s="20">
        <f t="shared" si="15"/>
        <v>0</v>
      </c>
      <c r="AU52" s="20">
        <f t="shared" si="16"/>
        <v>0</v>
      </c>
      <c r="AV52" s="20">
        <f t="shared" si="17"/>
        <v>0</v>
      </c>
      <c r="AW52" s="20">
        <f t="shared" si="18"/>
        <v>0</v>
      </c>
      <c r="AX52" s="20">
        <f t="shared" si="19"/>
        <v>30067</v>
      </c>
      <c r="AY52" s="20">
        <f t="shared" si="20"/>
        <v>0</v>
      </c>
      <c r="AZ52" s="20">
        <f t="shared" si="21"/>
        <v>0</v>
      </c>
      <c r="BA52" s="20">
        <f t="shared" si="22"/>
        <v>0</v>
      </c>
      <c r="BB52" s="20">
        <f t="shared" si="23"/>
        <v>0</v>
      </c>
      <c r="BC52" s="20">
        <f t="shared" si="24"/>
        <v>0</v>
      </c>
      <c r="BD52" s="20">
        <f t="shared" si="25"/>
        <v>0</v>
      </c>
      <c r="BE52" s="20">
        <f t="shared" si="26"/>
        <v>0</v>
      </c>
      <c r="BF52" s="20">
        <f t="shared" si="27"/>
        <v>0</v>
      </c>
      <c r="BG52" s="20">
        <f t="shared" si="28"/>
        <v>0</v>
      </c>
      <c r="BH52" s="20">
        <f t="shared" si="29"/>
        <v>0</v>
      </c>
      <c r="BI52" s="20">
        <f t="shared" si="30"/>
        <v>0</v>
      </c>
      <c r="BJ52" s="23" t="s">
        <v>912</v>
      </c>
      <c r="BK52" s="17" t="s">
        <v>490</v>
      </c>
      <c r="BL52" s="23" t="s">
        <v>491</v>
      </c>
      <c r="BM52" s="41">
        <f t="shared" si="31"/>
        <v>30067</v>
      </c>
      <c r="BN52" s="37">
        <f t="shared" si="35"/>
        <v>26870</v>
      </c>
    </row>
    <row r="53" spans="1:66" ht="33.75">
      <c r="A53" s="8" t="s">
        <v>490</v>
      </c>
      <c r="B53" s="22" t="s">
        <v>491</v>
      </c>
      <c r="C53" s="60">
        <v>105</v>
      </c>
      <c r="D53" s="18" t="s">
        <v>534</v>
      </c>
      <c r="E53" s="40">
        <v>652.28</v>
      </c>
      <c r="F53" s="19">
        <f t="shared" si="32"/>
        <v>65.227999999999994</v>
      </c>
      <c r="G53" s="19">
        <f t="shared" si="33"/>
        <v>12.393319999999999</v>
      </c>
      <c r="H53" s="19">
        <f t="shared" si="34"/>
        <v>729.90131999999994</v>
      </c>
      <c r="J53" s="8">
        <f t="shared" si="3"/>
        <v>5</v>
      </c>
      <c r="K53" s="8"/>
      <c r="L53" s="8"/>
      <c r="M53" s="8"/>
      <c r="N53" s="8"/>
      <c r="O53" s="8"/>
      <c r="P53" s="8"/>
      <c r="Q53" s="8"/>
      <c r="R53" s="8"/>
      <c r="S53" s="8"/>
      <c r="T53" s="8"/>
      <c r="U53" s="8"/>
      <c r="V53" s="8"/>
      <c r="W53" s="8"/>
      <c r="X53" s="8">
        <v>5</v>
      </c>
      <c r="Y53" s="8"/>
      <c r="Z53" s="8"/>
      <c r="AA53" s="8"/>
      <c r="AB53" s="8"/>
      <c r="AC53" s="8"/>
      <c r="AD53" s="8"/>
      <c r="AE53" s="8"/>
      <c r="AF53" s="8"/>
      <c r="AG53" s="8"/>
      <c r="AH53" s="8"/>
      <c r="AI53" s="8"/>
      <c r="AK53" s="20">
        <f t="shared" si="6"/>
        <v>0</v>
      </c>
      <c r="AL53" s="20">
        <f t="shared" si="7"/>
        <v>0</v>
      </c>
      <c r="AM53" s="20">
        <f t="shared" si="8"/>
        <v>0</v>
      </c>
      <c r="AN53" s="20">
        <f t="shared" si="9"/>
        <v>0</v>
      </c>
      <c r="AO53" s="20">
        <f t="shared" si="10"/>
        <v>0</v>
      </c>
      <c r="AP53" s="20">
        <f t="shared" si="11"/>
        <v>0</v>
      </c>
      <c r="AQ53" s="20">
        <f t="shared" si="12"/>
        <v>0</v>
      </c>
      <c r="AR53" s="20">
        <f t="shared" si="13"/>
        <v>0</v>
      </c>
      <c r="AS53" s="20">
        <f t="shared" si="14"/>
        <v>0</v>
      </c>
      <c r="AT53" s="20">
        <f t="shared" si="15"/>
        <v>0</v>
      </c>
      <c r="AU53" s="20">
        <f t="shared" si="16"/>
        <v>0</v>
      </c>
      <c r="AV53" s="20">
        <f t="shared" si="17"/>
        <v>0</v>
      </c>
      <c r="AW53" s="20">
        <f t="shared" si="18"/>
        <v>0</v>
      </c>
      <c r="AX53" s="20">
        <f t="shared" si="19"/>
        <v>3650</v>
      </c>
      <c r="AY53" s="20">
        <f t="shared" si="20"/>
        <v>0</v>
      </c>
      <c r="AZ53" s="20">
        <f t="shared" si="21"/>
        <v>0</v>
      </c>
      <c r="BA53" s="20">
        <f t="shared" si="22"/>
        <v>0</v>
      </c>
      <c r="BB53" s="20">
        <f t="shared" si="23"/>
        <v>0</v>
      </c>
      <c r="BC53" s="20">
        <f t="shared" si="24"/>
        <v>0</v>
      </c>
      <c r="BD53" s="20">
        <f t="shared" si="25"/>
        <v>0</v>
      </c>
      <c r="BE53" s="20">
        <f t="shared" si="26"/>
        <v>0</v>
      </c>
      <c r="BF53" s="20">
        <f t="shared" si="27"/>
        <v>0</v>
      </c>
      <c r="BG53" s="20">
        <f t="shared" si="28"/>
        <v>0</v>
      </c>
      <c r="BH53" s="20">
        <f t="shared" si="29"/>
        <v>0</v>
      </c>
      <c r="BI53" s="20">
        <f t="shared" si="30"/>
        <v>0</v>
      </c>
      <c r="BJ53" s="23" t="s">
        <v>912</v>
      </c>
      <c r="BK53" s="17" t="s">
        <v>490</v>
      </c>
      <c r="BL53" s="23" t="s">
        <v>491</v>
      </c>
      <c r="BM53" s="41">
        <f t="shared" si="31"/>
        <v>3650</v>
      </c>
      <c r="BN53" s="37">
        <f t="shared" si="35"/>
        <v>3261</v>
      </c>
    </row>
    <row r="54" spans="1:66" ht="56.25">
      <c r="A54" s="8" t="s">
        <v>535</v>
      </c>
      <c r="B54" s="21" t="s">
        <v>536</v>
      </c>
      <c r="C54" s="60">
        <v>106</v>
      </c>
      <c r="D54" s="18" t="s">
        <v>537</v>
      </c>
      <c r="E54" s="40">
        <v>464.47</v>
      </c>
      <c r="F54" s="19">
        <f t="shared" si="32"/>
        <v>46.447000000000003</v>
      </c>
      <c r="G54" s="19">
        <f t="shared" si="33"/>
        <v>8.8249300000000002</v>
      </c>
      <c r="H54" s="19">
        <f t="shared" si="34"/>
        <v>519.74193000000002</v>
      </c>
      <c r="J54" s="8">
        <f t="shared" si="3"/>
        <v>229</v>
      </c>
      <c r="K54" s="8">
        <v>50</v>
      </c>
      <c r="L54" s="8">
        <v>15</v>
      </c>
      <c r="M54" s="8">
        <v>5</v>
      </c>
      <c r="N54" s="8"/>
      <c r="O54" s="8">
        <v>15</v>
      </c>
      <c r="P54" s="8">
        <v>15</v>
      </c>
      <c r="Q54" s="8"/>
      <c r="R54" s="8">
        <v>10</v>
      </c>
      <c r="S54" s="8">
        <v>15</v>
      </c>
      <c r="T54" s="8"/>
      <c r="U54" s="8">
        <v>15</v>
      </c>
      <c r="V54" s="8">
        <v>10</v>
      </c>
      <c r="W54" s="8">
        <v>10</v>
      </c>
      <c r="X54" s="8">
        <v>5</v>
      </c>
      <c r="Y54" s="8"/>
      <c r="Z54" s="8">
        <v>15</v>
      </c>
      <c r="AA54" s="8">
        <v>10</v>
      </c>
      <c r="AB54" s="8">
        <v>15</v>
      </c>
      <c r="AC54" s="8">
        <v>15</v>
      </c>
      <c r="AD54" s="8">
        <v>6</v>
      </c>
      <c r="AE54" s="8"/>
      <c r="AF54" s="8"/>
      <c r="AG54" s="8"/>
      <c r="AH54" s="8"/>
      <c r="AI54" s="8">
        <v>3</v>
      </c>
      <c r="AK54" s="20">
        <f t="shared" si="6"/>
        <v>25987</v>
      </c>
      <c r="AL54" s="20">
        <f t="shared" si="7"/>
        <v>7796</v>
      </c>
      <c r="AM54" s="20">
        <f t="shared" si="8"/>
        <v>2599</v>
      </c>
      <c r="AN54" s="20">
        <f t="shared" si="9"/>
        <v>0</v>
      </c>
      <c r="AO54" s="20">
        <f t="shared" si="10"/>
        <v>7796</v>
      </c>
      <c r="AP54" s="20">
        <f t="shared" si="11"/>
        <v>7796</v>
      </c>
      <c r="AQ54" s="20">
        <f t="shared" si="12"/>
        <v>0</v>
      </c>
      <c r="AR54" s="20">
        <f t="shared" si="13"/>
        <v>5197</v>
      </c>
      <c r="AS54" s="20">
        <f t="shared" si="14"/>
        <v>7796</v>
      </c>
      <c r="AT54" s="20">
        <f t="shared" si="15"/>
        <v>0</v>
      </c>
      <c r="AU54" s="20">
        <f t="shared" si="16"/>
        <v>7796</v>
      </c>
      <c r="AV54" s="20">
        <f t="shared" si="17"/>
        <v>5197</v>
      </c>
      <c r="AW54" s="20">
        <f t="shared" si="18"/>
        <v>5197</v>
      </c>
      <c r="AX54" s="20">
        <f t="shared" si="19"/>
        <v>2599</v>
      </c>
      <c r="AY54" s="20">
        <f t="shared" si="20"/>
        <v>0</v>
      </c>
      <c r="AZ54" s="20">
        <f t="shared" si="21"/>
        <v>7796</v>
      </c>
      <c r="BA54" s="20">
        <f t="shared" si="22"/>
        <v>5197</v>
      </c>
      <c r="BB54" s="20">
        <f t="shared" si="23"/>
        <v>7796</v>
      </c>
      <c r="BC54" s="20">
        <f t="shared" si="24"/>
        <v>7796</v>
      </c>
      <c r="BD54" s="20">
        <f t="shared" si="25"/>
        <v>3118</v>
      </c>
      <c r="BE54" s="20">
        <f t="shared" si="26"/>
        <v>0</v>
      </c>
      <c r="BF54" s="20">
        <f t="shared" si="27"/>
        <v>0</v>
      </c>
      <c r="BG54" s="20">
        <f t="shared" si="28"/>
        <v>0</v>
      </c>
      <c r="BH54" s="20">
        <f t="shared" si="29"/>
        <v>0</v>
      </c>
      <c r="BI54" s="20">
        <f t="shared" si="30"/>
        <v>1559</v>
      </c>
      <c r="BJ54" s="21" t="s">
        <v>917</v>
      </c>
      <c r="BK54" s="17" t="s">
        <v>535</v>
      </c>
      <c r="BL54" s="21" t="s">
        <v>536</v>
      </c>
      <c r="BM54" s="41">
        <f t="shared" si="31"/>
        <v>119018</v>
      </c>
      <c r="BN54" s="37">
        <f t="shared" si="35"/>
        <v>106364</v>
      </c>
    </row>
    <row r="55" spans="1:66" ht="56.25">
      <c r="A55" s="8" t="s">
        <v>535</v>
      </c>
      <c r="B55" s="21" t="s">
        <v>536</v>
      </c>
      <c r="C55" s="61">
        <v>107</v>
      </c>
      <c r="D55" s="62" t="s">
        <v>538</v>
      </c>
      <c r="E55" s="39">
        <v>575.92999999999995</v>
      </c>
      <c r="F55" s="19">
        <f t="shared" si="32"/>
        <v>57.592999999999996</v>
      </c>
      <c r="G55" s="19">
        <f t="shared" si="33"/>
        <v>10.94267</v>
      </c>
      <c r="H55" s="19">
        <f t="shared" si="34"/>
        <v>644.46566999999993</v>
      </c>
      <c r="J55" s="8">
        <f t="shared" si="3"/>
        <v>0</v>
      </c>
      <c r="K55" s="8"/>
      <c r="L55" s="8"/>
      <c r="M55" s="8"/>
      <c r="N55" s="8"/>
      <c r="O55" s="8"/>
      <c r="P55" s="8"/>
      <c r="Q55" s="8"/>
      <c r="R55" s="8"/>
      <c r="S55" s="8"/>
      <c r="T55" s="8"/>
      <c r="U55" s="8"/>
      <c r="V55" s="8"/>
      <c r="W55" s="8"/>
      <c r="X55" s="8"/>
      <c r="Y55" s="8"/>
      <c r="Z55" s="8"/>
      <c r="AA55" s="8"/>
      <c r="AB55" s="8"/>
      <c r="AC55" s="8"/>
      <c r="AD55" s="8"/>
      <c r="AE55" s="8"/>
      <c r="AF55" s="8"/>
      <c r="AG55" s="8"/>
      <c r="AH55" s="8"/>
      <c r="AI55" s="8"/>
      <c r="AK55" s="20">
        <f t="shared" si="6"/>
        <v>0</v>
      </c>
      <c r="AL55" s="20">
        <f t="shared" si="7"/>
        <v>0</v>
      </c>
      <c r="AM55" s="20">
        <f t="shared" si="8"/>
        <v>0</v>
      </c>
      <c r="AN55" s="20">
        <f t="shared" si="9"/>
        <v>0</v>
      </c>
      <c r="AO55" s="20">
        <f t="shared" si="10"/>
        <v>0</v>
      </c>
      <c r="AP55" s="20">
        <f t="shared" si="11"/>
        <v>0</v>
      </c>
      <c r="AQ55" s="20">
        <f t="shared" si="12"/>
        <v>0</v>
      </c>
      <c r="AR55" s="20">
        <f t="shared" si="13"/>
        <v>0</v>
      </c>
      <c r="AS55" s="20">
        <f t="shared" si="14"/>
        <v>0</v>
      </c>
      <c r="AT55" s="20">
        <f t="shared" si="15"/>
        <v>0</v>
      </c>
      <c r="AU55" s="20">
        <f t="shared" si="16"/>
        <v>0</v>
      </c>
      <c r="AV55" s="20">
        <f t="shared" si="17"/>
        <v>0</v>
      </c>
      <c r="AW55" s="20">
        <f t="shared" si="18"/>
        <v>0</v>
      </c>
      <c r="AX55" s="20">
        <f t="shared" si="19"/>
        <v>0</v>
      </c>
      <c r="AY55" s="20">
        <f t="shared" si="20"/>
        <v>0</v>
      </c>
      <c r="AZ55" s="20">
        <f t="shared" si="21"/>
        <v>0</v>
      </c>
      <c r="BA55" s="20">
        <f t="shared" si="22"/>
        <v>0</v>
      </c>
      <c r="BB55" s="20">
        <f t="shared" si="23"/>
        <v>0</v>
      </c>
      <c r="BC55" s="20">
        <f t="shared" si="24"/>
        <v>0</v>
      </c>
      <c r="BD55" s="20">
        <f t="shared" si="25"/>
        <v>0</v>
      </c>
      <c r="BE55" s="20">
        <f t="shared" si="26"/>
        <v>0</v>
      </c>
      <c r="BF55" s="20">
        <f t="shared" si="27"/>
        <v>0</v>
      </c>
      <c r="BG55" s="20">
        <f t="shared" si="28"/>
        <v>0</v>
      </c>
      <c r="BH55" s="20">
        <f t="shared" si="29"/>
        <v>0</v>
      </c>
      <c r="BI55" s="20">
        <f t="shared" si="30"/>
        <v>0</v>
      </c>
      <c r="BJ55" s="21" t="s">
        <v>917</v>
      </c>
      <c r="BK55" s="17" t="s">
        <v>535</v>
      </c>
      <c r="BL55" s="21" t="s">
        <v>536</v>
      </c>
      <c r="BM55" s="41">
        <f t="shared" si="31"/>
        <v>0</v>
      </c>
      <c r="BN55" s="37">
        <f t="shared" si="35"/>
        <v>0</v>
      </c>
    </row>
    <row r="56" spans="1:66" ht="34.5" customHeight="1">
      <c r="A56" s="8" t="s">
        <v>535</v>
      </c>
      <c r="B56" s="21" t="s">
        <v>536</v>
      </c>
      <c r="C56" s="60">
        <v>112</v>
      </c>
      <c r="D56" s="18" t="s">
        <v>539</v>
      </c>
      <c r="E56" s="39">
        <v>1038.6400000000001</v>
      </c>
      <c r="F56" s="19">
        <f t="shared" si="32"/>
        <v>103.86400000000002</v>
      </c>
      <c r="G56" s="19">
        <f t="shared" si="33"/>
        <v>19.734160000000003</v>
      </c>
      <c r="H56" s="19">
        <f t="shared" si="34"/>
        <v>1162.2381600000001</v>
      </c>
      <c r="J56" s="8">
        <f t="shared" si="3"/>
        <v>103</v>
      </c>
      <c r="K56" s="5"/>
      <c r="L56" s="5"/>
      <c r="M56" s="5">
        <v>5</v>
      </c>
      <c r="N56" s="5"/>
      <c r="O56" s="5"/>
      <c r="P56" s="5"/>
      <c r="Q56" s="5">
        <v>15</v>
      </c>
      <c r="R56" s="5"/>
      <c r="S56" s="5">
        <v>15</v>
      </c>
      <c r="T56" s="5">
        <v>5</v>
      </c>
      <c r="U56" s="5">
        <v>15</v>
      </c>
      <c r="V56" s="5"/>
      <c r="W56" s="5">
        <v>10</v>
      </c>
      <c r="X56" s="5">
        <v>3</v>
      </c>
      <c r="Y56" s="5"/>
      <c r="Z56" s="5">
        <v>10</v>
      </c>
      <c r="AA56" s="5">
        <v>10</v>
      </c>
      <c r="AB56" s="5">
        <v>10</v>
      </c>
      <c r="AC56" s="5"/>
      <c r="AD56" s="5">
        <v>5</v>
      </c>
      <c r="AE56" s="5"/>
      <c r="AF56" s="5"/>
      <c r="AG56" s="5"/>
      <c r="AH56" s="5"/>
      <c r="AI56" s="5"/>
      <c r="AK56" s="20">
        <f t="shared" si="6"/>
        <v>0</v>
      </c>
      <c r="AL56" s="20">
        <f t="shared" si="7"/>
        <v>0</v>
      </c>
      <c r="AM56" s="20">
        <f t="shared" si="8"/>
        <v>5811</v>
      </c>
      <c r="AN56" s="20">
        <f t="shared" si="9"/>
        <v>0</v>
      </c>
      <c r="AO56" s="20">
        <f t="shared" si="10"/>
        <v>0</v>
      </c>
      <c r="AP56" s="20">
        <f t="shared" si="11"/>
        <v>0</v>
      </c>
      <c r="AQ56" s="20">
        <f t="shared" si="12"/>
        <v>17434</v>
      </c>
      <c r="AR56" s="20">
        <f t="shared" si="13"/>
        <v>0</v>
      </c>
      <c r="AS56" s="20">
        <f t="shared" si="14"/>
        <v>17434</v>
      </c>
      <c r="AT56" s="20">
        <f t="shared" si="15"/>
        <v>5811</v>
      </c>
      <c r="AU56" s="20">
        <f t="shared" si="16"/>
        <v>17434</v>
      </c>
      <c r="AV56" s="20">
        <f t="shared" si="17"/>
        <v>0</v>
      </c>
      <c r="AW56" s="20">
        <f t="shared" si="18"/>
        <v>11622</v>
      </c>
      <c r="AX56" s="20">
        <f t="shared" si="19"/>
        <v>3487</v>
      </c>
      <c r="AY56" s="20">
        <f t="shared" si="20"/>
        <v>0</v>
      </c>
      <c r="AZ56" s="20">
        <f t="shared" si="21"/>
        <v>11622</v>
      </c>
      <c r="BA56" s="20">
        <f t="shared" si="22"/>
        <v>11622</v>
      </c>
      <c r="BB56" s="20">
        <f t="shared" si="23"/>
        <v>11622</v>
      </c>
      <c r="BC56" s="20">
        <f t="shared" si="24"/>
        <v>0</v>
      </c>
      <c r="BD56" s="20">
        <f t="shared" si="25"/>
        <v>5811</v>
      </c>
      <c r="BE56" s="20">
        <f t="shared" si="26"/>
        <v>0</v>
      </c>
      <c r="BF56" s="20">
        <f t="shared" si="27"/>
        <v>0</v>
      </c>
      <c r="BG56" s="20">
        <f t="shared" si="28"/>
        <v>0</v>
      </c>
      <c r="BH56" s="20">
        <f t="shared" si="29"/>
        <v>0</v>
      </c>
      <c r="BI56" s="20">
        <f t="shared" si="30"/>
        <v>0</v>
      </c>
      <c r="BJ56" s="21" t="s">
        <v>917</v>
      </c>
      <c r="BK56" s="17" t="s">
        <v>535</v>
      </c>
      <c r="BL56" s="21" t="s">
        <v>536</v>
      </c>
      <c r="BM56" s="41">
        <f t="shared" si="31"/>
        <v>119710</v>
      </c>
      <c r="BN56" s="37">
        <f t="shared" si="35"/>
        <v>106980</v>
      </c>
    </row>
    <row r="57" spans="1:66" ht="34.5" customHeight="1">
      <c r="A57" s="8" t="s">
        <v>535</v>
      </c>
      <c r="B57" s="21" t="s">
        <v>536</v>
      </c>
      <c r="C57" s="60">
        <v>118</v>
      </c>
      <c r="D57" s="18" t="s">
        <v>540</v>
      </c>
      <c r="E57" s="39">
        <v>1202.02</v>
      </c>
      <c r="F57" s="19">
        <f t="shared" si="32"/>
        <v>120.202</v>
      </c>
      <c r="G57" s="19">
        <f t="shared" si="33"/>
        <v>22.838380000000001</v>
      </c>
      <c r="H57" s="19">
        <f t="shared" si="34"/>
        <v>1345.0603799999999</v>
      </c>
      <c r="J57" s="8">
        <f t="shared" si="3"/>
        <v>231</v>
      </c>
      <c r="K57" s="5">
        <v>50</v>
      </c>
      <c r="L57" s="5">
        <v>20</v>
      </c>
      <c r="M57" s="5">
        <v>10</v>
      </c>
      <c r="N57" s="5"/>
      <c r="O57" s="8">
        <v>20</v>
      </c>
      <c r="P57" s="5"/>
      <c r="Q57" s="5">
        <v>20</v>
      </c>
      <c r="R57" s="5"/>
      <c r="S57" s="5">
        <v>20</v>
      </c>
      <c r="T57" s="5">
        <v>10</v>
      </c>
      <c r="U57" s="5">
        <v>20</v>
      </c>
      <c r="V57" s="5"/>
      <c r="W57" s="5">
        <v>10</v>
      </c>
      <c r="X57" s="5">
        <v>10</v>
      </c>
      <c r="Y57" s="5"/>
      <c r="Z57" s="5">
        <v>10</v>
      </c>
      <c r="AA57" s="5">
        <v>10</v>
      </c>
      <c r="AB57" s="5"/>
      <c r="AC57" s="5">
        <v>15</v>
      </c>
      <c r="AD57" s="5">
        <v>6</v>
      </c>
      <c r="AE57" s="5"/>
      <c r="AF57" s="5"/>
      <c r="AG57" s="5"/>
      <c r="AH57" s="5"/>
      <c r="AI57" s="5"/>
      <c r="AK57" s="20">
        <f t="shared" si="6"/>
        <v>67253</v>
      </c>
      <c r="AL57" s="20">
        <f t="shared" si="7"/>
        <v>26901</v>
      </c>
      <c r="AM57" s="20">
        <f t="shared" si="8"/>
        <v>13451</v>
      </c>
      <c r="AN57" s="20">
        <f t="shared" si="9"/>
        <v>0</v>
      </c>
      <c r="AO57" s="20">
        <f t="shared" si="10"/>
        <v>26901</v>
      </c>
      <c r="AP57" s="20">
        <f t="shared" si="11"/>
        <v>0</v>
      </c>
      <c r="AQ57" s="20">
        <f t="shared" si="12"/>
        <v>26901</v>
      </c>
      <c r="AR57" s="20">
        <f t="shared" si="13"/>
        <v>0</v>
      </c>
      <c r="AS57" s="20">
        <f t="shared" si="14"/>
        <v>26901</v>
      </c>
      <c r="AT57" s="20">
        <f t="shared" si="15"/>
        <v>13451</v>
      </c>
      <c r="AU57" s="20">
        <f t="shared" si="16"/>
        <v>26901</v>
      </c>
      <c r="AV57" s="20">
        <f t="shared" si="17"/>
        <v>0</v>
      </c>
      <c r="AW57" s="20">
        <f t="shared" si="18"/>
        <v>13451</v>
      </c>
      <c r="AX57" s="20">
        <f t="shared" si="19"/>
        <v>13451</v>
      </c>
      <c r="AY57" s="20">
        <f t="shared" si="20"/>
        <v>0</v>
      </c>
      <c r="AZ57" s="20">
        <f t="shared" si="21"/>
        <v>13451</v>
      </c>
      <c r="BA57" s="20">
        <f t="shared" si="22"/>
        <v>13451</v>
      </c>
      <c r="BB57" s="20">
        <f t="shared" si="23"/>
        <v>0</v>
      </c>
      <c r="BC57" s="20">
        <f t="shared" si="24"/>
        <v>20176</v>
      </c>
      <c r="BD57" s="20">
        <f t="shared" si="25"/>
        <v>8070</v>
      </c>
      <c r="BE57" s="20">
        <f t="shared" si="26"/>
        <v>0</v>
      </c>
      <c r="BF57" s="20">
        <f t="shared" si="27"/>
        <v>0</v>
      </c>
      <c r="BG57" s="20">
        <f t="shared" si="28"/>
        <v>0</v>
      </c>
      <c r="BH57" s="20">
        <f t="shared" si="29"/>
        <v>0</v>
      </c>
      <c r="BI57" s="20">
        <f t="shared" si="30"/>
        <v>0</v>
      </c>
      <c r="BJ57" s="21" t="s">
        <v>917</v>
      </c>
      <c r="BK57" s="17" t="s">
        <v>535</v>
      </c>
      <c r="BL57" s="21" t="s">
        <v>536</v>
      </c>
      <c r="BM57" s="41">
        <f t="shared" si="31"/>
        <v>310710</v>
      </c>
      <c r="BN57" s="37">
        <f t="shared" si="35"/>
        <v>277667</v>
      </c>
    </row>
    <row r="58" spans="1:66" ht="56.25">
      <c r="A58" s="8" t="s">
        <v>535</v>
      </c>
      <c r="B58" s="21" t="s">
        <v>536</v>
      </c>
      <c r="C58" s="60">
        <v>120</v>
      </c>
      <c r="D58" s="18" t="s">
        <v>541</v>
      </c>
      <c r="E58" s="39">
        <v>1270.49</v>
      </c>
      <c r="F58" s="19">
        <f t="shared" si="32"/>
        <v>127.04900000000001</v>
      </c>
      <c r="G58" s="19">
        <f t="shared" si="33"/>
        <v>24.139310000000002</v>
      </c>
      <c r="H58" s="19">
        <f t="shared" si="34"/>
        <v>1421.67831</v>
      </c>
      <c r="J58" s="8">
        <f t="shared" si="3"/>
        <v>109</v>
      </c>
      <c r="K58" s="5">
        <v>25</v>
      </c>
      <c r="L58" s="5">
        <v>12</v>
      </c>
      <c r="M58" s="5">
        <v>12</v>
      </c>
      <c r="N58" s="5"/>
      <c r="O58" s="8"/>
      <c r="P58" s="5"/>
      <c r="Q58" s="5"/>
      <c r="R58" s="5"/>
      <c r="S58" s="5">
        <v>12</v>
      </c>
      <c r="T58" s="5">
        <v>10</v>
      </c>
      <c r="U58" s="5">
        <v>12</v>
      </c>
      <c r="V58" s="5"/>
      <c r="W58" s="5">
        <v>6</v>
      </c>
      <c r="X58" s="5">
        <v>3</v>
      </c>
      <c r="Y58" s="5"/>
      <c r="Z58" s="5"/>
      <c r="AA58" s="5">
        <v>6</v>
      </c>
      <c r="AB58" s="5">
        <v>5</v>
      </c>
      <c r="AC58" s="5"/>
      <c r="AD58" s="5">
        <v>6</v>
      </c>
      <c r="AE58" s="5"/>
      <c r="AF58" s="5"/>
      <c r="AG58" s="5"/>
      <c r="AH58" s="5"/>
      <c r="AI58" s="5"/>
      <c r="AK58" s="20">
        <f t="shared" si="6"/>
        <v>35542</v>
      </c>
      <c r="AL58" s="20">
        <f t="shared" si="7"/>
        <v>17060</v>
      </c>
      <c r="AM58" s="20">
        <f t="shared" si="8"/>
        <v>17060</v>
      </c>
      <c r="AN58" s="20">
        <f t="shared" si="9"/>
        <v>0</v>
      </c>
      <c r="AO58" s="20">
        <f t="shared" si="10"/>
        <v>0</v>
      </c>
      <c r="AP58" s="20">
        <f t="shared" si="11"/>
        <v>0</v>
      </c>
      <c r="AQ58" s="20">
        <f t="shared" si="12"/>
        <v>0</v>
      </c>
      <c r="AR58" s="20">
        <f t="shared" si="13"/>
        <v>0</v>
      </c>
      <c r="AS58" s="20">
        <f t="shared" si="14"/>
        <v>17060</v>
      </c>
      <c r="AT58" s="20">
        <f t="shared" si="15"/>
        <v>14217</v>
      </c>
      <c r="AU58" s="20">
        <f t="shared" si="16"/>
        <v>17060</v>
      </c>
      <c r="AV58" s="20">
        <f t="shared" si="17"/>
        <v>0</v>
      </c>
      <c r="AW58" s="20">
        <f t="shared" si="18"/>
        <v>8530</v>
      </c>
      <c r="AX58" s="20">
        <f t="shared" si="19"/>
        <v>4265</v>
      </c>
      <c r="AY58" s="20">
        <f t="shared" si="20"/>
        <v>0</v>
      </c>
      <c r="AZ58" s="20">
        <f t="shared" si="21"/>
        <v>0</v>
      </c>
      <c r="BA58" s="20">
        <f t="shared" si="22"/>
        <v>8530</v>
      </c>
      <c r="BB58" s="20">
        <f t="shared" si="23"/>
        <v>7108</v>
      </c>
      <c r="BC58" s="20">
        <f t="shared" si="24"/>
        <v>0</v>
      </c>
      <c r="BD58" s="20">
        <f t="shared" si="25"/>
        <v>8530</v>
      </c>
      <c r="BE58" s="20">
        <f t="shared" si="26"/>
        <v>0</v>
      </c>
      <c r="BF58" s="20">
        <f t="shared" si="27"/>
        <v>0</v>
      </c>
      <c r="BG58" s="20">
        <f t="shared" si="28"/>
        <v>0</v>
      </c>
      <c r="BH58" s="20">
        <f t="shared" si="29"/>
        <v>0</v>
      </c>
      <c r="BI58" s="20">
        <f t="shared" si="30"/>
        <v>0</v>
      </c>
      <c r="BJ58" s="21" t="s">
        <v>917</v>
      </c>
      <c r="BK58" s="17" t="s">
        <v>535</v>
      </c>
      <c r="BL58" s="21" t="s">
        <v>536</v>
      </c>
      <c r="BM58" s="41">
        <f t="shared" si="31"/>
        <v>154962</v>
      </c>
      <c r="BN58" s="37">
        <f t="shared" si="35"/>
        <v>138483</v>
      </c>
    </row>
    <row r="59" spans="1:66" ht="56.25">
      <c r="A59" s="8" t="s">
        <v>535</v>
      </c>
      <c r="B59" s="21" t="s">
        <v>536</v>
      </c>
      <c r="C59" s="60">
        <v>124</v>
      </c>
      <c r="D59" s="18" t="s">
        <v>763</v>
      </c>
      <c r="E59" s="39">
        <v>7167</v>
      </c>
      <c r="F59" s="19">
        <f t="shared" si="32"/>
        <v>716.7</v>
      </c>
      <c r="G59" s="19">
        <f t="shared" si="33"/>
        <v>136.173</v>
      </c>
      <c r="H59" s="19">
        <f t="shared" si="34"/>
        <v>8019.8729999999996</v>
      </c>
      <c r="J59" s="8">
        <f t="shared" si="3"/>
        <v>0</v>
      </c>
      <c r="K59" s="5"/>
      <c r="L59" s="5"/>
      <c r="M59" s="5"/>
      <c r="N59" s="5"/>
      <c r="O59" s="8"/>
      <c r="P59" s="5"/>
      <c r="Q59" s="5"/>
      <c r="R59" s="5"/>
      <c r="S59" s="5"/>
      <c r="T59" s="5"/>
      <c r="U59" s="5"/>
      <c r="V59" s="5"/>
      <c r="W59" s="5"/>
      <c r="X59" s="5"/>
      <c r="Y59" s="5"/>
      <c r="Z59" s="5"/>
      <c r="AA59" s="5"/>
      <c r="AB59" s="5"/>
      <c r="AC59" s="5"/>
      <c r="AD59" s="5"/>
      <c r="AE59" s="5"/>
      <c r="AF59" s="5"/>
      <c r="AG59" s="5"/>
      <c r="AH59" s="5"/>
      <c r="AI59" s="5"/>
      <c r="AK59" s="20">
        <f t="shared" si="6"/>
        <v>0</v>
      </c>
      <c r="AL59" s="20">
        <f t="shared" si="7"/>
        <v>0</v>
      </c>
      <c r="AM59" s="20">
        <f t="shared" si="8"/>
        <v>0</v>
      </c>
      <c r="AN59" s="20">
        <f t="shared" si="9"/>
        <v>0</v>
      </c>
      <c r="AO59" s="20">
        <f t="shared" si="10"/>
        <v>0</v>
      </c>
      <c r="AP59" s="20">
        <f t="shared" si="11"/>
        <v>0</v>
      </c>
      <c r="AQ59" s="20">
        <f t="shared" si="12"/>
        <v>0</v>
      </c>
      <c r="AR59" s="20">
        <f t="shared" si="13"/>
        <v>0</v>
      </c>
      <c r="AS59" s="20">
        <f t="shared" si="14"/>
        <v>0</v>
      </c>
      <c r="AT59" s="20">
        <f t="shared" si="15"/>
        <v>0</v>
      </c>
      <c r="AU59" s="20">
        <f t="shared" si="16"/>
        <v>0</v>
      </c>
      <c r="AV59" s="20">
        <f t="shared" si="17"/>
        <v>0</v>
      </c>
      <c r="AW59" s="20">
        <f t="shared" si="18"/>
        <v>0</v>
      </c>
      <c r="AX59" s="20">
        <f t="shared" si="19"/>
        <v>0</v>
      </c>
      <c r="AY59" s="20">
        <f t="shared" si="20"/>
        <v>0</v>
      </c>
      <c r="AZ59" s="20">
        <f t="shared" si="21"/>
        <v>0</v>
      </c>
      <c r="BA59" s="20">
        <f t="shared" si="22"/>
        <v>0</v>
      </c>
      <c r="BB59" s="20">
        <f t="shared" si="23"/>
        <v>0</v>
      </c>
      <c r="BC59" s="20">
        <f t="shared" si="24"/>
        <v>0</v>
      </c>
      <c r="BD59" s="20">
        <f t="shared" si="25"/>
        <v>0</v>
      </c>
      <c r="BE59" s="20">
        <f t="shared" si="26"/>
        <v>0</v>
      </c>
      <c r="BF59" s="20">
        <f t="shared" si="27"/>
        <v>0</v>
      </c>
      <c r="BG59" s="20">
        <f t="shared" si="28"/>
        <v>0</v>
      </c>
      <c r="BH59" s="20">
        <f t="shared" si="29"/>
        <v>0</v>
      </c>
      <c r="BI59" s="20">
        <f t="shared" si="30"/>
        <v>0</v>
      </c>
      <c r="BJ59" s="21" t="s">
        <v>917</v>
      </c>
      <c r="BK59" s="17" t="s">
        <v>535</v>
      </c>
      <c r="BL59" s="21" t="s">
        <v>536</v>
      </c>
      <c r="BM59" s="41">
        <f t="shared" si="31"/>
        <v>0</v>
      </c>
      <c r="BN59" s="37">
        <f t="shared" si="35"/>
        <v>0</v>
      </c>
    </row>
    <row r="60" spans="1:66" ht="56.25">
      <c r="A60" s="8" t="s">
        <v>535</v>
      </c>
      <c r="B60" s="21" t="s">
        <v>536</v>
      </c>
      <c r="C60" s="60">
        <v>125</v>
      </c>
      <c r="D60" s="18" t="s">
        <v>542</v>
      </c>
      <c r="E60" s="39">
        <v>2376.8200000000002</v>
      </c>
      <c r="F60" s="19">
        <f t="shared" si="32"/>
        <v>237.68200000000002</v>
      </c>
      <c r="G60" s="19">
        <f t="shared" si="33"/>
        <v>45.159580000000005</v>
      </c>
      <c r="H60" s="19">
        <f t="shared" si="34"/>
        <v>2659.6615800000004</v>
      </c>
      <c r="J60" s="8">
        <f t="shared" si="3"/>
        <v>78</v>
      </c>
      <c r="K60" s="5">
        <v>40</v>
      </c>
      <c r="L60" s="5">
        <v>8</v>
      </c>
      <c r="M60" s="5">
        <v>8</v>
      </c>
      <c r="N60" s="5"/>
      <c r="O60" s="5">
        <v>8</v>
      </c>
      <c r="P60" s="5"/>
      <c r="Q60" s="5"/>
      <c r="R60" s="5"/>
      <c r="S60" s="5"/>
      <c r="T60" s="5"/>
      <c r="U60" s="5"/>
      <c r="V60" s="5"/>
      <c r="W60" s="5">
        <v>4</v>
      </c>
      <c r="X60" s="5"/>
      <c r="Y60" s="5"/>
      <c r="Z60" s="5"/>
      <c r="AA60" s="5"/>
      <c r="AB60" s="5"/>
      <c r="AC60" s="5"/>
      <c r="AD60" s="5">
        <v>5</v>
      </c>
      <c r="AE60" s="5"/>
      <c r="AF60" s="5"/>
      <c r="AG60" s="5"/>
      <c r="AH60" s="5"/>
      <c r="AI60" s="5">
        <v>5</v>
      </c>
      <c r="AK60" s="20">
        <f t="shared" si="6"/>
        <v>106386</v>
      </c>
      <c r="AL60" s="20">
        <f t="shared" si="7"/>
        <v>21277</v>
      </c>
      <c r="AM60" s="20">
        <f t="shared" si="8"/>
        <v>21277</v>
      </c>
      <c r="AN60" s="20">
        <f t="shared" si="9"/>
        <v>0</v>
      </c>
      <c r="AO60" s="20">
        <f t="shared" si="10"/>
        <v>21277</v>
      </c>
      <c r="AP60" s="20">
        <f t="shared" si="11"/>
        <v>0</v>
      </c>
      <c r="AQ60" s="20">
        <f t="shared" si="12"/>
        <v>0</v>
      </c>
      <c r="AR60" s="20">
        <f t="shared" si="13"/>
        <v>0</v>
      </c>
      <c r="AS60" s="20">
        <f t="shared" si="14"/>
        <v>0</v>
      </c>
      <c r="AT60" s="20">
        <f t="shared" si="15"/>
        <v>0</v>
      </c>
      <c r="AU60" s="20">
        <f t="shared" si="16"/>
        <v>0</v>
      </c>
      <c r="AV60" s="20">
        <f t="shared" si="17"/>
        <v>0</v>
      </c>
      <c r="AW60" s="20">
        <f t="shared" si="18"/>
        <v>10639</v>
      </c>
      <c r="AX60" s="20">
        <f t="shared" si="19"/>
        <v>0</v>
      </c>
      <c r="AY60" s="20">
        <f t="shared" si="20"/>
        <v>0</v>
      </c>
      <c r="AZ60" s="20">
        <f t="shared" si="21"/>
        <v>0</v>
      </c>
      <c r="BA60" s="20">
        <f t="shared" si="22"/>
        <v>0</v>
      </c>
      <c r="BB60" s="20">
        <f t="shared" si="23"/>
        <v>0</v>
      </c>
      <c r="BC60" s="20">
        <f t="shared" si="24"/>
        <v>0</v>
      </c>
      <c r="BD60" s="20">
        <f t="shared" si="25"/>
        <v>13298</v>
      </c>
      <c r="BE60" s="20">
        <f t="shared" si="26"/>
        <v>0</v>
      </c>
      <c r="BF60" s="20">
        <f t="shared" si="27"/>
        <v>0</v>
      </c>
      <c r="BG60" s="20">
        <f t="shared" si="28"/>
        <v>0</v>
      </c>
      <c r="BH60" s="20">
        <f t="shared" si="29"/>
        <v>0</v>
      </c>
      <c r="BI60" s="20">
        <f t="shared" si="30"/>
        <v>13298</v>
      </c>
      <c r="BJ60" s="21" t="s">
        <v>917</v>
      </c>
      <c r="BK60" s="17" t="s">
        <v>535</v>
      </c>
      <c r="BL60" s="21" t="s">
        <v>536</v>
      </c>
      <c r="BM60" s="41">
        <f t="shared" si="31"/>
        <v>207452</v>
      </c>
      <c r="BN60" s="37">
        <f t="shared" si="35"/>
        <v>185392</v>
      </c>
    </row>
    <row r="61" spans="1:66" ht="56.25">
      <c r="A61" s="8" t="s">
        <v>535</v>
      </c>
      <c r="B61" s="21" t="s">
        <v>536</v>
      </c>
      <c r="C61" s="60">
        <v>126</v>
      </c>
      <c r="D61" s="18" t="s">
        <v>764</v>
      </c>
      <c r="E61" s="39">
        <v>7296.68</v>
      </c>
      <c r="F61" s="19">
        <f t="shared" si="32"/>
        <v>729.66800000000012</v>
      </c>
      <c r="G61" s="19">
        <f t="shared" si="33"/>
        <v>138.63692000000003</v>
      </c>
      <c r="H61" s="19">
        <f t="shared" si="34"/>
        <v>8164.9849199999999</v>
      </c>
      <c r="J61" s="8">
        <f t="shared" si="3"/>
        <v>0</v>
      </c>
      <c r="K61" s="5"/>
      <c r="L61" s="5"/>
      <c r="M61" s="5"/>
      <c r="N61" s="5"/>
      <c r="O61" s="5"/>
      <c r="P61" s="5"/>
      <c r="Q61" s="5"/>
      <c r="R61" s="5"/>
      <c r="S61" s="5"/>
      <c r="T61" s="5"/>
      <c r="U61" s="5"/>
      <c r="V61" s="5"/>
      <c r="W61" s="5"/>
      <c r="X61" s="5"/>
      <c r="Y61" s="5"/>
      <c r="Z61" s="5"/>
      <c r="AA61" s="5"/>
      <c r="AB61" s="5"/>
      <c r="AC61" s="5"/>
      <c r="AD61" s="5"/>
      <c r="AE61" s="5"/>
      <c r="AF61" s="5"/>
      <c r="AG61" s="5"/>
      <c r="AH61" s="5"/>
      <c r="AI61" s="5"/>
      <c r="AK61" s="20">
        <f t="shared" si="6"/>
        <v>0</v>
      </c>
      <c r="AL61" s="20">
        <f t="shared" si="7"/>
        <v>0</v>
      </c>
      <c r="AM61" s="20">
        <f t="shared" si="8"/>
        <v>0</v>
      </c>
      <c r="AN61" s="20">
        <f t="shared" si="9"/>
        <v>0</v>
      </c>
      <c r="AO61" s="20">
        <f t="shared" si="10"/>
        <v>0</v>
      </c>
      <c r="AP61" s="20">
        <f t="shared" si="11"/>
        <v>0</v>
      </c>
      <c r="AQ61" s="20">
        <f t="shared" si="12"/>
        <v>0</v>
      </c>
      <c r="AR61" s="20">
        <f t="shared" si="13"/>
        <v>0</v>
      </c>
      <c r="AS61" s="20">
        <f t="shared" si="14"/>
        <v>0</v>
      </c>
      <c r="AT61" s="20">
        <f t="shared" si="15"/>
        <v>0</v>
      </c>
      <c r="AU61" s="20">
        <f t="shared" si="16"/>
        <v>0</v>
      </c>
      <c r="AV61" s="20">
        <f t="shared" si="17"/>
        <v>0</v>
      </c>
      <c r="AW61" s="20">
        <f t="shared" si="18"/>
        <v>0</v>
      </c>
      <c r="AX61" s="20">
        <f t="shared" si="19"/>
        <v>0</v>
      </c>
      <c r="AY61" s="20">
        <f t="shared" si="20"/>
        <v>0</v>
      </c>
      <c r="AZ61" s="20">
        <f t="shared" si="21"/>
        <v>0</v>
      </c>
      <c r="BA61" s="20">
        <f t="shared" si="22"/>
        <v>0</v>
      </c>
      <c r="BB61" s="20">
        <f t="shared" si="23"/>
        <v>0</v>
      </c>
      <c r="BC61" s="20">
        <f t="shared" si="24"/>
        <v>0</v>
      </c>
      <c r="BD61" s="20">
        <f t="shared" si="25"/>
        <v>0</v>
      </c>
      <c r="BE61" s="20">
        <f t="shared" si="26"/>
        <v>0</v>
      </c>
      <c r="BF61" s="20">
        <f t="shared" si="27"/>
        <v>0</v>
      </c>
      <c r="BG61" s="20">
        <f t="shared" si="28"/>
        <v>0</v>
      </c>
      <c r="BH61" s="20">
        <f t="shared" si="29"/>
        <v>0</v>
      </c>
      <c r="BI61" s="20">
        <f t="shared" si="30"/>
        <v>0</v>
      </c>
      <c r="BJ61" s="21" t="s">
        <v>917</v>
      </c>
      <c r="BK61" s="17" t="s">
        <v>535</v>
      </c>
      <c r="BL61" s="21" t="s">
        <v>536</v>
      </c>
      <c r="BM61" s="41">
        <f t="shared" si="31"/>
        <v>0</v>
      </c>
      <c r="BN61" s="37">
        <f t="shared" si="35"/>
        <v>0</v>
      </c>
    </row>
    <row r="62" spans="1:66" ht="56.25">
      <c r="A62" s="8" t="s">
        <v>535</v>
      </c>
      <c r="B62" s="21" t="s">
        <v>536</v>
      </c>
      <c r="C62" s="61">
        <v>127</v>
      </c>
      <c r="D62" s="62" t="s">
        <v>543</v>
      </c>
      <c r="E62" s="39">
        <v>1813.54</v>
      </c>
      <c r="F62" s="19">
        <f t="shared" si="32"/>
        <v>181.35400000000001</v>
      </c>
      <c r="G62" s="19">
        <f t="shared" si="33"/>
        <v>34.457260000000005</v>
      </c>
      <c r="H62" s="19">
        <f t="shared" si="34"/>
        <v>2029.3512599999999</v>
      </c>
      <c r="J62" s="8">
        <f t="shared" si="3"/>
        <v>0</v>
      </c>
      <c r="K62" s="5"/>
      <c r="L62" s="5"/>
      <c r="M62" s="5"/>
      <c r="N62" s="5"/>
      <c r="O62" s="5"/>
      <c r="P62" s="5"/>
      <c r="Q62" s="5"/>
      <c r="R62" s="5"/>
      <c r="S62" s="5"/>
      <c r="T62" s="5"/>
      <c r="U62" s="5"/>
      <c r="V62" s="5"/>
      <c r="W62" s="5"/>
      <c r="X62" s="5"/>
      <c r="Y62" s="5"/>
      <c r="Z62" s="5"/>
      <c r="AA62" s="5"/>
      <c r="AB62" s="5"/>
      <c r="AC62" s="5"/>
      <c r="AD62" s="5"/>
      <c r="AE62" s="5"/>
      <c r="AF62" s="5"/>
      <c r="AG62" s="5"/>
      <c r="AH62" s="5"/>
      <c r="AI62" s="5"/>
      <c r="AK62" s="20">
        <f t="shared" si="6"/>
        <v>0</v>
      </c>
      <c r="AL62" s="20">
        <f t="shared" si="7"/>
        <v>0</v>
      </c>
      <c r="AM62" s="20">
        <f t="shared" si="8"/>
        <v>0</v>
      </c>
      <c r="AN62" s="20">
        <f t="shared" si="9"/>
        <v>0</v>
      </c>
      <c r="AO62" s="20">
        <f t="shared" si="10"/>
        <v>0</v>
      </c>
      <c r="AP62" s="20">
        <f t="shared" si="11"/>
        <v>0</v>
      </c>
      <c r="AQ62" s="20">
        <f t="shared" si="12"/>
        <v>0</v>
      </c>
      <c r="AR62" s="20">
        <f t="shared" si="13"/>
        <v>0</v>
      </c>
      <c r="AS62" s="20">
        <f t="shared" si="14"/>
        <v>0</v>
      </c>
      <c r="AT62" s="20">
        <f t="shared" si="15"/>
        <v>0</v>
      </c>
      <c r="AU62" s="20">
        <f t="shared" si="16"/>
        <v>0</v>
      </c>
      <c r="AV62" s="20">
        <f t="shared" si="17"/>
        <v>0</v>
      </c>
      <c r="AW62" s="20">
        <f t="shared" si="18"/>
        <v>0</v>
      </c>
      <c r="AX62" s="20">
        <f t="shared" si="19"/>
        <v>0</v>
      </c>
      <c r="AY62" s="20">
        <f t="shared" si="20"/>
        <v>0</v>
      </c>
      <c r="AZ62" s="20">
        <f t="shared" si="21"/>
        <v>0</v>
      </c>
      <c r="BA62" s="20">
        <f t="shared" si="22"/>
        <v>0</v>
      </c>
      <c r="BB62" s="20">
        <f t="shared" si="23"/>
        <v>0</v>
      </c>
      <c r="BC62" s="20">
        <f t="shared" si="24"/>
        <v>0</v>
      </c>
      <c r="BD62" s="20">
        <f t="shared" si="25"/>
        <v>0</v>
      </c>
      <c r="BE62" s="20">
        <f t="shared" si="26"/>
        <v>0</v>
      </c>
      <c r="BF62" s="20">
        <f t="shared" si="27"/>
        <v>0</v>
      </c>
      <c r="BG62" s="20">
        <f t="shared" si="28"/>
        <v>0</v>
      </c>
      <c r="BH62" s="20">
        <f t="shared" si="29"/>
        <v>0</v>
      </c>
      <c r="BI62" s="20">
        <f t="shared" si="30"/>
        <v>0</v>
      </c>
      <c r="BJ62" s="21" t="s">
        <v>917</v>
      </c>
      <c r="BK62" s="17" t="s">
        <v>535</v>
      </c>
      <c r="BL62" s="21" t="s">
        <v>536</v>
      </c>
      <c r="BM62" s="41">
        <f t="shared" si="31"/>
        <v>0</v>
      </c>
      <c r="BN62" s="37">
        <f t="shared" si="35"/>
        <v>0</v>
      </c>
    </row>
    <row r="63" spans="1:66" ht="67.5">
      <c r="A63" s="25" t="s">
        <v>544</v>
      </c>
      <c r="B63" s="25" t="s">
        <v>545</v>
      </c>
      <c r="C63" s="60">
        <v>136</v>
      </c>
      <c r="D63" s="18" t="s">
        <v>546</v>
      </c>
      <c r="E63" s="39">
        <v>6018.26</v>
      </c>
      <c r="F63" s="19">
        <f t="shared" si="32"/>
        <v>601.82600000000002</v>
      </c>
      <c r="G63" s="19">
        <f t="shared" si="33"/>
        <v>114.34694</v>
      </c>
      <c r="H63" s="19">
        <f t="shared" si="34"/>
        <v>6734.4329400000006</v>
      </c>
      <c r="J63" s="8">
        <f t="shared" si="3"/>
        <v>3</v>
      </c>
      <c r="K63" s="5"/>
      <c r="L63" s="5"/>
      <c r="M63" s="5"/>
      <c r="N63" s="5"/>
      <c r="O63" s="5"/>
      <c r="P63" s="5"/>
      <c r="Q63" s="5"/>
      <c r="R63" s="5"/>
      <c r="S63" s="5"/>
      <c r="T63" s="5"/>
      <c r="U63" s="5"/>
      <c r="V63" s="5"/>
      <c r="W63" s="5"/>
      <c r="X63" s="5">
        <v>3</v>
      </c>
      <c r="Y63" s="5"/>
      <c r="Z63" s="5"/>
      <c r="AA63" s="5"/>
      <c r="AB63" s="5"/>
      <c r="AC63" s="5"/>
      <c r="AD63" s="5"/>
      <c r="AE63" s="5"/>
      <c r="AF63" s="5"/>
      <c r="AG63" s="5"/>
      <c r="AH63" s="5"/>
      <c r="AI63" s="5"/>
      <c r="AK63" s="20">
        <f t="shared" si="6"/>
        <v>0</v>
      </c>
      <c r="AL63" s="20">
        <f t="shared" si="7"/>
        <v>0</v>
      </c>
      <c r="AM63" s="20">
        <f t="shared" si="8"/>
        <v>0</v>
      </c>
      <c r="AN63" s="20">
        <f t="shared" si="9"/>
        <v>0</v>
      </c>
      <c r="AO63" s="20">
        <f t="shared" si="10"/>
        <v>0</v>
      </c>
      <c r="AP63" s="20">
        <f t="shared" si="11"/>
        <v>0</v>
      </c>
      <c r="AQ63" s="20">
        <f t="shared" si="12"/>
        <v>0</v>
      </c>
      <c r="AR63" s="20">
        <f t="shared" si="13"/>
        <v>0</v>
      </c>
      <c r="AS63" s="20">
        <f t="shared" si="14"/>
        <v>0</v>
      </c>
      <c r="AT63" s="20">
        <f t="shared" si="15"/>
        <v>0</v>
      </c>
      <c r="AU63" s="20">
        <f t="shared" si="16"/>
        <v>0</v>
      </c>
      <c r="AV63" s="20">
        <f t="shared" si="17"/>
        <v>0</v>
      </c>
      <c r="AW63" s="20">
        <f t="shared" si="18"/>
        <v>0</v>
      </c>
      <c r="AX63" s="215">
        <v>0</v>
      </c>
      <c r="AY63" s="20">
        <f t="shared" si="20"/>
        <v>0</v>
      </c>
      <c r="AZ63" s="20">
        <f t="shared" si="21"/>
        <v>0</v>
      </c>
      <c r="BA63" s="20">
        <f t="shared" si="22"/>
        <v>0</v>
      </c>
      <c r="BB63" s="20">
        <f t="shared" si="23"/>
        <v>0</v>
      </c>
      <c r="BC63" s="20">
        <f t="shared" si="24"/>
        <v>0</v>
      </c>
      <c r="BD63" s="20">
        <f t="shared" si="25"/>
        <v>0</v>
      </c>
      <c r="BE63" s="20">
        <f t="shared" si="26"/>
        <v>0</v>
      </c>
      <c r="BF63" s="20">
        <f t="shared" si="27"/>
        <v>0</v>
      </c>
      <c r="BG63" s="20">
        <f t="shared" si="28"/>
        <v>0</v>
      </c>
      <c r="BH63" s="20">
        <f t="shared" si="29"/>
        <v>0</v>
      </c>
      <c r="BI63" s="20">
        <f t="shared" si="30"/>
        <v>0</v>
      </c>
      <c r="BJ63" s="26" t="s">
        <v>918</v>
      </c>
      <c r="BK63" s="26" t="s">
        <v>544</v>
      </c>
      <c r="BL63" s="26" t="s">
        <v>545</v>
      </c>
      <c r="BM63" s="214">
        <v>0</v>
      </c>
      <c r="BN63" s="37">
        <f t="shared" si="35"/>
        <v>18055</v>
      </c>
    </row>
    <row r="64" spans="1:66" ht="67.5">
      <c r="A64" s="25" t="s">
        <v>544</v>
      </c>
      <c r="B64" s="25" t="s">
        <v>545</v>
      </c>
      <c r="C64" s="60">
        <v>138</v>
      </c>
      <c r="D64" s="18" t="s">
        <v>547</v>
      </c>
      <c r="E64" s="39">
        <v>2257.2600000000002</v>
      </c>
      <c r="F64" s="19">
        <f t="shared" si="32"/>
        <v>225.72600000000003</v>
      </c>
      <c r="G64" s="19">
        <f t="shared" si="33"/>
        <v>42.887940000000008</v>
      </c>
      <c r="H64" s="19">
        <f t="shared" si="34"/>
        <v>2525.8739400000004</v>
      </c>
      <c r="J64" s="8">
        <f t="shared" si="3"/>
        <v>1</v>
      </c>
      <c r="K64" s="5"/>
      <c r="L64" s="5"/>
      <c r="M64" s="5"/>
      <c r="N64" s="5"/>
      <c r="O64" s="5"/>
      <c r="P64" s="5"/>
      <c r="Q64" s="5"/>
      <c r="R64" s="5"/>
      <c r="S64" s="5"/>
      <c r="T64" s="5"/>
      <c r="U64" s="5"/>
      <c r="V64" s="5"/>
      <c r="W64" s="5"/>
      <c r="X64" s="5">
        <v>1</v>
      </c>
      <c r="Y64" s="5"/>
      <c r="Z64" s="5"/>
      <c r="AA64" s="5"/>
      <c r="AB64" s="5"/>
      <c r="AC64" s="5"/>
      <c r="AD64" s="5"/>
      <c r="AE64" s="5"/>
      <c r="AF64" s="5"/>
      <c r="AG64" s="5"/>
      <c r="AH64" s="5"/>
      <c r="AI64" s="5"/>
      <c r="AK64" s="20">
        <f t="shared" si="6"/>
        <v>0</v>
      </c>
      <c r="AL64" s="20">
        <f t="shared" si="7"/>
        <v>0</v>
      </c>
      <c r="AM64" s="20">
        <f t="shared" si="8"/>
        <v>0</v>
      </c>
      <c r="AN64" s="20">
        <f t="shared" si="9"/>
        <v>0</v>
      </c>
      <c r="AO64" s="20">
        <f t="shared" si="10"/>
        <v>0</v>
      </c>
      <c r="AP64" s="20">
        <f t="shared" si="11"/>
        <v>0</v>
      </c>
      <c r="AQ64" s="20">
        <f t="shared" si="12"/>
        <v>0</v>
      </c>
      <c r="AR64" s="20">
        <f t="shared" si="13"/>
        <v>0</v>
      </c>
      <c r="AS64" s="20">
        <f t="shared" si="14"/>
        <v>0</v>
      </c>
      <c r="AT64" s="20">
        <f t="shared" si="15"/>
        <v>0</v>
      </c>
      <c r="AU64" s="20">
        <f t="shared" si="16"/>
        <v>0</v>
      </c>
      <c r="AV64" s="20">
        <f t="shared" si="17"/>
        <v>0</v>
      </c>
      <c r="AW64" s="20">
        <f t="shared" si="18"/>
        <v>0</v>
      </c>
      <c r="AX64" s="215">
        <v>12695</v>
      </c>
      <c r="AY64" s="20">
        <f t="shared" si="20"/>
        <v>0</v>
      </c>
      <c r="AZ64" s="20">
        <f t="shared" si="21"/>
        <v>0</v>
      </c>
      <c r="BA64" s="20">
        <f t="shared" si="22"/>
        <v>0</v>
      </c>
      <c r="BB64" s="20">
        <f t="shared" si="23"/>
        <v>0</v>
      </c>
      <c r="BC64" s="20">
        <f t="shared" si="24"/>
        <v>0</v>
      </c>
      <c r="BD64" s="20">
        <f t="shared" si="25"/>
        <v>0</v>
      </c>
      <c r="BE64" s="20">
        <f t="shared" si="26"/>
        <v>0</v>
      </c>
      <c r="BF64" s="20">
        <f t="shared" si="27"/>
        <v>0</v>
      </c>
      <c r="BG64" s="20">
        <f t="shared" si="28"/>
        <v>0</v>
      </c>
      <c r="BH64" s="20">
        <f t="shared" si="29"/>
        <v>0</v>
      </c>
      <c r="BI64" s="20">
        <f t="shared" si="30"/>
        <v>0</v>
      </c>
      <c r="BJ64" s="26" t="s">
        <v>918</v>
      </c>
      <c r="BK64" s="26" t="s">
        <v>544</v>
      </c>
      <c r="BL64" s="26" t="s">
        <v>545</v>
      </c>
      <c r="BM64" s="214">
        <v>12695</v>
      </c>
      <c r="BN64" s="37">
        <f t="shared" si="35"/>
        <v>2257</v>
      </c>
    </row>
    <row r="65" spans="1:66" ht="56.25">
      <c r="A65" s="8" t="s">
        <v>548</v>
      </c>
      <c r="B65" s="21" t="s">
        <v>549</v>
      </c>
      <c r="C65" s="60">
        <v>141</v>
      </c>
      <c r="D65" s="18" t="s">
        <v>550</v>
      </c>
      <c r="E65" s="39">
        <v>1064.73</v>
      </c>
      <c r="F65" s="19">
        <f t="shared" si="32"/>
        <v>106.47300000000001</v>
      </c>
      <c r="G65" s="19">
        <f t="shared" si="33"/>
        <v>20.229870000000002</v>
      </c>
      <c r="H65" s="19">
        <f t="shared" si="34"/>
        <v>1191.4328699999999</v>
      </c>
      <c r="J65" s="8">
        <f t="shared" si="3"/>
        <v>0</v>
      </c>
      <c r="K65" s="5"/>
      <c r="L65" s="5"/>
      <c r="M65" s="5"/>
      <c r="N65" s="5"/>
      <c r="O65" s="5"/>
      <c r="P65" s="5"/>
      <c r="Q65" s="5"/>
      <c r="R65" s="5"/>
      <c r="S65" s="5"/>
      <c r="T65" s="5"/>
      <c r="U65" s="5"/>
      <c r="V65" s="5"/>
      <c r="W65" s="5"/>
      <c r="X65" s="5"/>
      <c r="Y65" s="5"/>
      <c r="Z65" s="5"/>
      <c r="AA65" s="5"/>
      <c r="AB65" s="5"/>
      <c r="AC65" s="5"/>
      <c r="AD65" s="5"/>
      <c r="AE65" s="5"/>
      <c r="AF65" s="5"/>
      <c r="AG65" s="5"/>
      <c r="AH65" s="5"/>
      <c r="AI65" s="5"/>
      <c r="AK65" s="20">
        <f t="shared" si="6"/>
        <v>0</v>
      </c>
      <c r="AL65" s="20">
        <f t="shared" si="7"/>
        <v>0</v>
      </c>
      <c r="AM65" s="20">
        <f t="shared" si="8"/>
        <v>0</v>
      </c>
      <c r="AN65" s="20">
        <f t="shared" si="9"/>
        <v>0</v>
      </c>
      <c r="AO65" s="20">
        <f t="shared" si="10"/>
        <v>0</v>
      </c>
      <c r="AP65" s="20">
        <f t="shared" si="11"/>
        <v>0</v>
      </c>
      <c r="AQ65" s="20">
        <f t="shared" si="12"/>
        <v>0</v>
      </c>
      <c r="AR65" s="20">
        <f t="shared" si="13"/>
        <v>0</v>
      </c>
      <c r="AS65" s="20">
        <f t="shared" si="14"/>
        <v>0</v>
      </c>
      <c r="AT65" s="20">
        <f t="shared" si="15"/>
        <v>0</v>
      </c>
      <c r="AU65" s="20">
        <f t="shared" si="16"/>
        <v>0</v>
      </c>
      <c r="AV65" s="20">
        <f t="shared" si="17"/>
        <v>0</v>
      </c>
      <c r="AW65" s="20">
        <f t="shared" si="18"/>
        <v>0</v>
      </c>
      <c r="AX65" s="20">
        <f t="shared" si="19"/>
        <v>0</v>
      </c>
      <c r="AY65" s="20">
        <f t="shared" si="20"/>
        <v>0</v>
      </c>
      <c r="AZ65" s="20">
        <f t="shared" si="21"/>
        <v>0</v>
      </c>
      <c r="BA65" s="20">
        <f t="shared" si="22"/>
        <v>0</v>
      </c>
      <c r="BB65" s="20">
        <f t="shared" si="23"/>
        <v>0</v>
      </c>
      <c r="BC65" s="20">
        <f t="shared" si="24"/>
        <v>0</v>
      </c>
      <c r="BD65" s="20">
        <f t="shared" si="25"/>
        <v>0</v>
      </c>
      <c r="BE65" s="20">
        <f t="shared" si="26"/>
        <v>0</v>
      </c>
      <c r="BF65" s="20">
        <f t="shared" si="27"/>
        <v>0</v>
      </c>
      <c r="BG65" s="20">
        <f t="shared" si="28"/>
        <v>0</v>
      </c>
      <c r="BH65" s="20">
        <f t="shared" si="29"/>
        <v>0</v>
      </c>
      <c r="BI65" s="20">
        <f t="shared" si="30"/>
        <v>0</v>
      </c>
      <c r="BJ65" s="21" t="s">
        <v>919</v>
      </c>
      <c r="BK65" s="17" t="s">
        <v>548</v>
      </c>
      <c r="BL65" s="21" t="s">
        <v>549</v>
      </c>
      <c r="BM65" s="41">
        <f t="shared" si="31"/>
        <v>0</v>
      </c>
      <c r="BN65" s="37">
        <f t="shared" si="35"/>
        <v>0</v>
      </c>
    </row>
    <row r="66" spans="1:66" ht="56.25">
      <c r="A66" s="8" t="s">
        <v>548</v>
      </c>
      <c r="B66" s="21" t="s">
        <v>549</v>
      </c>
      <c r="C66" s="60">
        <v>143</v>
      </c>
      <c r="D66" s="18" t="s">
        <v>551</v>
      </c>
      <c r="E66" s="39">
        <v>6572.61</v>
      </c>
      <c r="F66" s="19">
        <f t="shared" si="32"/>
        <v>657.26099999999997</v>
      </c>
      <c r="G66" s="19">
        <f t="shared" si="33"/>
        <v>124.87958999999999</v>
      </c>
      <c r="H66" s="19">
        <f t="shared" si="34"/>
        <v>7354.7505899999987</v>
      </c>
      <c r="J66" s="8">
        <f t="shared" ref="J66:J129" si="36">SUM(K66:AI66)</f>
        <v>760</v>
      </c>
      <c r="K66" s="5">
        <v>160</v>
      </c>
      <c r="L66" s="5">
        <v>40</v>
      </c>
      <c r="M66" s="5">
        <v>40</v>
      </c>
      <c r="N66" s="5"/>
      <c r="O66" s="8">
        <v>60</v>
      </c>
      <c r="P66" s="5"/>
      <c r="Q66" s="5">
        <v>60</v>
      </c>
      <c r="R66" s="5"/>
      <c r="S66" s="5">
        <v>80</v>
      </c>
      <c r="T66" s="5">
        <v>60</v>
      </c>
      <c r="U66" s="5">
        <v>30</v>
      </c>
      <c r="V66" s="5">
        <v>10</v>
      </c>
      <c r="W66" s="5"/>
      <c r="X66" s="5">
        <v>10</v>
      </c>
      <c r="Y66" s="5">
        <v>10</v>
      </c>
      <c r="Z66" s="5">
        <v>60</v>
      </c>
      <c r="AA66" s="5">
        <v>15</v>
      </c>
      <c r="AB66" s="5">
        <v>30</v>
      </c>
      <c r="AC66" s="5">
        <v>20</v>
      </c>
      <c r="AD66" s="5">
        <v>30</v>
      </c>
      <c r="AE66" s="5"/>
      <c r="AF66" s="5"/>
      <c r="AG66" s="5">
        <v>30</v>
      </c>
      <c r="AH66" s="5">
        <v>5</v>
      </c>
      <c r="AI66" s="5">
        <v>10</v>
      </c>
      <c r="AK66" s="20">
        <f t="shared" si="6"/>
        <v>1176760</v>
      </c>
      <c r="AL66" s="20">
        <f t="shared" si="7"/>
        <v>294190</v>
      </c>
      <c r="AM66" s="20">
        <f t="shared" si="8"/>
        <v>294190</v>
      </c>
      <c r="AN66" s="20">
        <f t="shared" si="9"/>
        <v>0</v>
      </c>
      <c r="AO66" s="20">
        <f t="shared" si="10"/>
        <v>441285</v>
      </c>
      <c r="AP66" s="20">
        <f t="shared" si="11"/>
        <v>0</v>
      </c>
      <c r="AQ66" s="20">
        <f t="shared" si="12"/>
        <v>441285</v>
      </c>
      <c r="AR66" s="20">
        <f t="shared" si="13"/>
        <v>0</v>
      </c>
      <c r="AS66" s="20">
        <f t="shared" si="14"/>
        <v>588380</v>
      </c>
      <c r="AT66" s="20">
        <f t="shared" si="15"/>
        <v>441285</v>
      </c>
      <c r="AU66" s="20">
        <f t="shared" si="16"/>
        <v>220643</v>
      </c>
      <c r="AV66" s="20">
        <f t="shared" si="17"/>
        <v>73548</v>
      </c>
      <c r="AW66" s="20">
        <f t="shared" si="18"/>
        <v>0</v>
      </c>
      <c r="AX66" s="20">
        <f t="shared" si="19"/>
        <v>73548</v>
      </c>
      <c r="AY66" s="20">
        <f t="shared" si="20"/>
        <v>73548</v>
      </c>
      <c r="AZ66" s="20">
        <f t="shared" si="21"/>
        <v>441285</v>
      </c>
      <c r="BA66" s="20">
        <f t="shared" si="22"/>
        <v>110321</v>
      </c>
      <c r="BB66" s="20">
        <f t="shared" si="23"/>
        <v>220643</v>
      </c>
      <c r="BC66" s="20">
        <f t="shared" si="24"/>
        <v>147095</v>
      </c>
      <c r="BD66" s="20">
        <f t="shared" si="25"/>
        <v>220643</v>
      </c>
      <c r="BE66" s="20">
        <f t="shared" si="26"/>
        <v>0</v>
      </c>
      <c r="BF66" s="20">
        <f t="shared" si="27"/>
        <v>0</v>
      </c>
      <c r="BG66" s="20">
        <f t="shared" si="28"/>
        <v>220643</v>
      </c>
      <c r="BH66" s="20">
        <f t="shared" si="29"/>
        <v>36774</v>
      </c>
      <c r="BI66" s="20">
        <f t="shared" si="30"/>
        <v>73548</v>
      </c>
      <c r="BJ66" s="21" t="s">
        <v>919</v>
      </c>
      <c r="BK66" s="17" t="s">
        <v>548</v>
      </c>
      <c r="BL66" s="21" t="s">
        <v>549</v>
      </c>
      <c r="BM66" s="41">
        <f t="shared" si="31"/>
        <v>5589614</v>
      </c>
      <c r="BN66" s="37">
        <f t="shared" ref="BN66:BN97" si="37">+ROUND((E66*J66),0)</f>
        <v>4995184</v>
      </c>
    </row>
    <row r="67" spans="1:66" ht="34.5" customHeight="1">
      <c r="A67" s="8" t="s">
        <v>552</v>
      </c>
      <c r="B67" s="21" t="s">
        <v>553</v>
      </c>
      <c r="C67" s="60">
        <v>151</v>
      </c>
      <c r="D67" s="18" t="s">
        <v>554</v>
      </c>
      <c r="E67" s="39">
        <v>4514.78</v>
      </c>
      <c r="F67" s="19">
        <f t="shared" si="32"/>
        <v>451.47800000000001</v>
      </c>
      <c r="G67" s="19">
        <f t="shared" si="33"/>
        <v>85.780820000000006</v>
      </c>
      <c r="H67" s="19">
        <f t="shared" si="34"/>
        <v>5052.0388199999998</v>
      </c>
      <c r="J67" s="8">
        <f t="shared" si="36"/>
        <v>780</v>
      </c>
      <c r="K67" s="5">
        <v>450</v>
      </c>
      <c r="L67" s="5">
        <v>40</v>
      </c>
      <c r="M67" s="5">
        <v>10</v>
      </c>
      <c r="N67" s="5"/>
      <c r="O67" s="8"/>
      <c r="P67" s="5"/>
      <c r="Q67" s="5">
        <v>60</v>
      </c>
      <c r="R67" s="5"/>
      <c r="S67" s="8">
        <v>80</v>
      </c>
      <c r="T67" s="5"/>
      <c r="U67" s="5">
        <v>30</v>
      </c>
      <c r="V67" s="8">
        <v>20</v>
      </c>
      <c r="W67" s="5"/>
      <c r="X67" s="8">
        <v>10</v>
      </c>
      <c r="Y67" s="5"/>
      <c r="Z67" s="5"/>
      <c r="AA67" s="5">
        <v>20</v>
      </c>
      <c r="AB67" s="8"/>
      <c r="AC67" s="5"/>
      <c r="AD67" s="5"/>
      <c r="AE67" s="5"/>
      <c r="AF67" s="5"/>
      <c r="AG67" s="5"/>
      <c r="AH67" s="5"/>
      <c r="AI67" s="5">
        <v>60</v>
      </c>
      <c r="AK67" s="215">
        <f>+ROUND(K67*$H67,0)+519535</f>
        <v>2792952</v>
      </c>
      <c r="AL67" s="20">
        <f t="shared" ref="AL67:AL130" si="38">+ROUND(L67*$H67,0)</f>
        <v>202082</v>
      </c>
      <c r="AM67" s="20">
        <f t="shared" ref="AM67:AM130" si="39">+ROUND(M67*$H67,0)</f>
        <v>50520</v>
      </c>
      <c r="AN67" s="20">
        <f t="shared" ref="AN67:AN130" si="40">+ROUND(N67*$H67,0)</f>
        <v>0</v>
      </c>
      <c r="AO67" s="20">
        <f t="shared" ref="AO67:AO130" si="41">+ROUND(O67*$H67,0)</f>
        <v>0</v>
      </c>
      <c r="AP67" s="20">
        <f t="shared" ref="AP67:AP130" si="42">+ROUND(P67*$H67,0)</f>
        <v>0</v>
      </c>
      <c r="AQ67" s="20">
        <f t="shared" ref="AQ67:AQ130" si="43">+ROUND(Q67*$H67,0)</f>
        <v>303122</v>
      </c>
      <c r="AR67" s="20">
        <f t="shared" ref="AR67:AR130" si="44">+ROUND(R67*$H67,0)</f>
        <v>0</v>
      </c>
      <c r="AS67" s="20">
        <f t="shared" ref="AS67:AS130" si="45">+ROUND(S67*$H67,0)</f>
        <v>404163</v>
      </c>
      <c r="AT67" s="20">
        <f t="shared" ref="AT67:AT130" si="46">+ROUND(T67*$H67,0)</f>
        <v>0</v>
      </c>
      <c r="AU67" s="20">
        <f t="shared" ref="AU67:AU130" si="47">+ROUND(U67*$H67,0)</f>
        <v>151561</v>
      </c>
      <c r="AV67" s="20">
        <f t="shared" ref="AV67:AV130" si="48">+ROUND(V67*$H67,0)</f>
        <v>101041</v>
      </c>
      <c r="AW67" s="20">
        <f t="shared" ref="AW67:AW130" si="49">+ROUND(W67*$H67,0)</f>
        <v>0</v>
      </c>
      <c r="AX67" s="20">
        <f t="shared" ref="AX67:AX130" si="50">+ROUND(X67*$H67,0)</f>
        <v>50520</v>
      </c>
      <c r="AY67" s="20">
        <f t="shared" ref="AY67:AY130" si="51">+ROUND(Y67*$H67,0)</f>
        <v>0</v>
      </c>
      <c r="AZ67" s="20">
        <f t="shared" ref="AZ67:AZ130" si="52">+ROUND(Z67*$H67,0)</f>
        <v>0</v>
      </c>
      <c r="BA67" s="20">
        <f t="shared" ref="BA67:BA130" si="53">+ROUND(AA67*$H67,0)</f>
        <v>101041</v>
      </c>
      <c r="BB67" s="20">
        <f t="shared" ref="BB67:BB130" si="54">+ROUND(AB67*$H67,0)</f>
        <v>0</v>
      </c>
      <c r="BC67" s="20">
        <f t="shared" ref="BC67:BC130" si="55">+ROUND(AC67*$H67,0)</f>
        <v>0</v>
      </c>
      <c r="BD67" s="20">
        <f t="shared" ref="BD67:BD130" si="56">+ROUND(AD67*$H67,0)</f>
        <v>0</v>
      </c>
      <c r="BE67" s="20">
        <f t="shared" ref="BE67:BE130" si="57">+ROUND(AE67*$H67,0)</f>
        <v>0</v>
      </c>
      <c r="BF67" s="20">
        <f t="shared" ref="BF67:BF130" si="58">+ROUND(AF67*$H67,0)</f>
        <v>0</v>
      </c>
      <c r="BG67" s="20">
        <f t="shared" ref="BG67:BG130" si="59">+ROUND(AG67*$H67,0)</f>
        <v>0</v>
      </c>
      <c r="BH67" s="20">
        <f t="shared" ref="BH67:BH130" si="60">+ROUND(AH67*$H67,0)</f>
        <v>0</v>
      </c>
      <c r="BI67" s="20">
        <f t="shared" ref="BI67:BI130" si="61">+ROUND(AI67*$H67,0)</f>
        <v>303122</v>
      </c>
      <c r="BJ67" s="21" t="s">
        <v>920</v>
      </c>
      <c r="BK67" s="17" t="s">
        <v>552</v>
      </c>
      <c r="BL67" s="21" t="s">
        <v>553</v>
      </c>
      <c r="BM67" s="41">
        <f t="shared" ref="BM67:BM130" si="62">+SUM(AK67:BI67)</f>
        <v>4460124</v>
      </c>
      <c r="BN67" s="37">
        <f t="shared" si="37"/>
        <v>3521528</v>
      </c>
    </row>
    <row r="68" spans="1:66" ht="34.5" customHeight="1">
      <c r="A68" s="8" t="s">
        <v>552</v>
      </c>
      <c r="B68" s="21" t="s">
        <v>553</v>
      </c>
      <c r="C68" s="60">
        <v>152</v>
      </c>
      <c r="D68" s="18" t="s">
        <v>555</v>
      </c>
      <c r="E68" s="39">
        <v>1590.04</v>
      </c>
      <c r="F68" s="19">
        <f t="shared" ref="F68:F100" si="63">+E68*10%</f>
        <v>159.00400000000002</v>
      </c>
      <c r="G68" s="19">
        <f t="shared" ref="G68:G100" si="64">+F68*19%</f>
        <v>30.210760000000004</v>
      </c>
      <c r="H68" s="19">
        <f t="shared" ref="H68:H100" si="65">+E68+F68+G68</f>
        <v>1779.2547599999998</v>
      </c>
      <c r="J68" s="8">
        <f t="shared" si="36"/>
        <v>0</v>
      </c>
      <c r="K68" s="5"/>
      <c r="L68" s="5"/>
      <c r="M68" s="5"/>
      <c r="N68" s="5"/>
      <c r="O68" s="5"/>
      <c r="P68" s="5"/>
      <c r="Q68" s="5"/>
      <c r="R68" s="5"/>
      <c r="S68" s="5"/>
      <c r="T68" s="5"/>
      <c r="U68" s="5"/>
      <c r="V68" s="5"/>
      <c r="W68" s="5"/>
      <c r="X68" s="5"/>
      <c r="Y68" s="5"/>
      <c r="Z68" s="5"/>
      <c r="AA68" s="5"/>
      <c r="AB68" s="5"/>
      <c r="AC68" s="5"/>
      <c r="AD68" s="5"/>
      <c r="AE68" s="5"/>
      <c r="AF68" s="5"/>
      <c r="AG68" s="5"/>
      <c r="AH68" s="5"/>
      <c r="AI68" s="5"/>
      <c r="AK68" s="20">
        <f t="shared" ref="AK68:AK130" si="66">+ROUND(K68*$H68,0)</f>
        <v>0</v>
      </c>
      <c r="AL68" s="20">
        <f t="shared" si="38"/>
        <v>0</v>
      </c>
      <c r="AM68" s="20">
        <f t="shared" si="39"/>
        <v>0</v>
      </c>
      <c r="AN68" s="20">
        <f t="shared" si="40"/>
        <v>0</v>
      </c>
      <c r="AO68" s="20">
        <f t="shared" si="41"/>
        <v>0</v>
      </c>
      <c r="AP68" s="20">
        <f t="shared" si="42"/>
        <v>0</v>
      </c>
      <c r="AQ68" s="20">
        <f t="shared" si="43"/>
        <v>0</v>
      </c>
      <c r="AR68" s="20">
        <f t="shared" si="44"/>
        <v>0</v>
      </c>
      <c r="AS68" s="20">
        <f t="shared" si="45"/>
        <v>0</v>
      </c>
      <c r="AT68" s="20">
        <f t="shared" si="46"/>
        <v>0</v>
      </c>
      <c r="AU68" s="20">
        <f t="shared" si="47"/>
        <v>0</v>
      </c>
      <c r="AV68" s="20">
        <f t="shared" si="48"/>
        <v>0</v>
      </c>
      <c r="AW68" s="20">
        <f t="shared" si="49"/>
        <v>0</v>
      </c>
      <c r="AX68" s="20">
        <f t="shared" si="50"/>
        <v>0</v>
      </c>
      <c r="AY68" s="20">
        <f t="shared" si="51"/>
        <v>0</v>
      </c>
      <c r="AZ68" s="20">
        <f t="shared" si="52"/>
        <v>0</v>
      </c>
      <c r="BA68" s="20">
        <f t="shared" si="53"/>
        <v>0</v>
      </c>
      <c r="BB68" s="20">
        <f t="shared" si="54"/>
        <v>0</v>
      </c>
      <c r="BC68" s="20">
        <f t="shared" si="55"/>
        <v>0</v>
      </c>
      <c r="BD68" s="20">
        <f t="shared" si="56"/>
        <v>0</v>
      </c>
      <c r="BE68" s="20">
        <f t="shared" si="57"/>
        <v>0</v>
      </c>
      <c r="BF68" s="20">
        <f t="shared" si="58"/>
        <v>0</v>
      </c>
      <c r="BG68" s="20">
        <f t="shared" si="59"/>
        <v>0</v>
      </c>
      <c r="BH68" s="20">
        <f t="shared" si="60"/>
        <v>0</v>
      </c>
      <c r="BI68" s="20">
        <f t="shared" si="61"/>
        <v>0</v>
      </c>
      <c r="BJ68" s="21" t="s">
        <v>920</v>
      </c>
      <c r="BK68" s="17" t="s">
        <v>552</v>
      </c>
      <c r="BL68" s="21" t="s">
        <v>553</v>
      </c>
      <c r="BM68" s="41">
        <f t="shared" si="62"/>
        <v>0</v>
      </c>
      <c r="BN68" s="37">
        <f t="shared" si="37"/>
        <v>0</v>
      </c>
    </row>
    <row r="69" spans="1:66" ht="34.5" customHeight="1">
      <c r="A69" s="8" t="s">
        <v>556</v>
      </c>
      <c r="B69" s="21" t="s">
        <v>557</v>
      </c>
      <c r="C69" s="60">
        <v>154</v>
      </c>
      <c r="D69" s="18" t="s">
        <v>558</v>
      </c>
      <c r="E69" s="39">
        <v>2306.2199999999998</v>
      </c>
      <c r="F69" s="19">
        <f t="shared" si="63"/>
        <v>230.62199999999999</v>
      </c>
      <c r="G69" s="19">
        <f t="shared" si="64"/>
        <v>43.818179999999998</v>
      </c>
      <c r="H69" s="19">
        <f t="shared" si="65"/>
        <v>2580.6601799999999</v>
      </c>
      <c r="J69" s="8">
        <f t="shared" si="36"/>
        <v>5</v>
      </c>
      <c r="K69" s="5">
        <v>5</v>
      </c>
      <c r="L69" s="5"/>
      <c r="M69" s="5"/>
      <c r="N69" s="5"/>
      <c r="O69" s="5"/>
      <c r="P69" s="5"/>
      <c r="Q69" s="5"/>
      <c r="R69" s="5"/>
      <c r="S69" s="5"/>
      <c r="T69" s="5"/>
      <c r="U69" s="5"/>
      <c r="V69" s="5"/>
      <c r="W69" s="5"/>
      <c r="X69" s="5"/>
      <c r="Y69" s="5"/>
      <c r="Z69" s="5"/>
      <c r="AA69" s="5"/>
      <c r="AB69" s="5"/>
      <c r="AC69" s="5"/>
      <c r="AD69" s="5"/>
      <c r="AE69" s="5"/>
      <c r="AF69" s="5"/>
      <c r="AG69" s="5"/>
      <c r="AH69" s="5"/>
      <c r="AI69" s="5"/>
      <c r="AK69" s="20">
        <f t="shared" si="66"/>
        <v>12903</v>
      </c>
      <c r="AL69" s="20">
        <f t="shared" si="38"/>
        <v>0</v>
      </c>
      <c r="AM69" s="20">
        <f t="shared" si="39"/>
        <v>0</v>
      </c>
      <c r="AN69" s="20">
        <f t="shared" si="40"/>
        <v>0</v>
      </c>
      <c r="AO69" s="20">
        <f t="shared" si="41"/>
        <v>0</v>
      </c>
      <c r="AP69" s="20">
        <f t="shared" si="42"/>
        <v>0</v>
      </c>
      <c r="AQ69" s="20">
        <f t="shared" si="43"/>
        <v>0</v>
      </c>
      <c r="AR69" s="20">
        <f t="shared" si="44"/>
        <v>0</v>
      </c>
      <c r="AS69" s="20">
        <f t="shared" si="45"/>
        <v>0</v>
      </c>
      <c r="AT69" s="20">
        <f t="shared" si="46"/>
        <v>0</v>
      </c>
      <c r="AU69" s="20">
        <f t="shared" si="47"/>
        <v>0</v>
      </c>
      <c r="AV69" s="20">
        <f t="shared" si="48"/>
        <v>0</v>
      </c>
      <c r="AW69" s="20">
        <f t="shared" si="49"/>
        <v>0</v>
      </c>
      <c r="AX69" s="20">
        <f t="shared" si="50"/>
        <v>0</v>
      </c>
      <c r="AY69" s="20">
        <f t="shared" si="51"/>
        <v>0</v>
      </c>
      <c r="AZ69" s="20">
        <f t="shared" si="52"/>
        <v>0</v>
      </c>
      <c r="BA69" s="20">
        <f t="shared" si="53"/>
        <v>0</v>
      </c>
      <c r="BB69" s="20">
        <f t="shared" si="54"/>
        <v>0</v>
      </c>
      <c r="BC69" s="20">
        <f t="shared" si="55"/>
        <v>0</v>
      </c>
      <c r="BD69" s="20">
        <f t="shared" si="56"/>
        <v>0</v>
      </c>
      <c r="BE69" s="20">
        <f t="shared" si="57"/>
        <v>0</v>
      </c>
      <c r="BF69" s="20">
        <f t="shared" si="58"/>
        <v>0</v>
      </c>
      <c r="BG69" s="20">
        <f t="shared" si="59"/>
        <v>0</v>
      </c>
      <c r="BH69" s="20">
        <f t="shared" si="60"/>
        <v>0</v>
      </c>
      <c r="BI69" s="20">
        <f t="shared" si="61"/>
        <v>0</v>
      </c>
      <c r="BJ69" s="21" t="s">
        <v>921</v>
      </c>
      <c r="BK69" s="17" t="s">
        <v>556</v>
      </c>
      <c r="BL69" s="21" t="s">
        <v>557</v>
      </c>
      <c r="BM69" s="41">
        <f t="shared" si="62"/>
        <v>12903</v>
      </c>
      <c r="BN69" s="37">
        <f t="shared" si="37"/>
        <v>11531</v>
      </c>
    </row>
    <row r="70" spans="1:66" ht="34.5" customHeight="1">
      <c r="A70" s="8" t="s">
        <v>559</v>
      </c>
      <c r="B70" s="8" t="s">
        <v>560</v>
      </c>
      <c r="C70" s="60">
        <v>156</v>
      </c>
      <c r="D70" s="18" t="s">
        <v>561</v>
      </c>
      <c r="E70" s="39">
        <v>4156.12</v>
      </c>
      <c r="F70" s="19">
        <f t="shared" si="63"/>
        <v>415.61200000000002</v>
      </c>
      <c r="G70" s="19">
        <f t="shared" si="64"/>
        <v>78.966280000000012</v>
      </c>
      <c r="H70" s="19">
        <f t="shared" si="65"/>
        <v>4650.6982799999996</v>
      </c>
      <c r="J70" s="8">
        <f t="shared" si="36"/>
        <v>175</v>
      </c>
      <c r="K70" s="5">
        <v>50</v>
      </c>
      <c r="L70" s="5">
        <v>4</v>
      </c>
      <c r="M70" s="5">
        <v>4</v>
      </c>
      <c r="N70" s="5"/>
      <c r="O70" s="8"/>
      <c r="P70" s="5">
        <v>4</v>
      </c>
      <c r="Q70" s="5">
        <v>4</v>
      </c>
      <c r="R70" s="5"/>
      <c r="S70" s="5">
        <v>4</v>
      </c>
      <c r="T70" s="5">
        <v>4</v>
      </c>
      <c r="U70" s="5">
        <v>4</v>
      </c>
      <c r="V70" s="5">
        <v>4</v>
      </c>
      <c r="W70" s="5">
        <v>2</v>
      </c>
      <c r="X70" s="5">
        <v>2</v>
      </c>
      <c r="Y70" s="5">
        <v>2</v>
      </c>
      <c r="Z70" s="5"/>
      <c r="AA70" s="5">
        <v>2</v>
      </c>
      <c r="AB70" s="5">
        <v>25</v>
      </c>
      <c r="AC70" s="5"/>
      <c r="AD70" s="5">
        <v>10</v>
      </c>
      <c r="AE70" s="5"/>
      <c r="AF70" s="5"/>
      <c r="AG70" s="5">
        <v>30</v>
      </c>
      <c r="AH70" s="5">
        <v>20</v>
      </c>
      <c r="AI70" s="5"/>
      <c r="AK70" s="20">
        <f t="shared" si="66"/>
        <v>232535</v>
      </c>
      <c r="AL70" s="20">
        <f t="shared" si="38"/>
        <v>18603</v>
      </c>
      <c r="AM70" s="20">
        <f t="shared" si="39"/>
        <v>18603</v>
      </c>
      <c r="AN70" s="20">
        <f t="shared" si="40"/>
        <v>0</v>
      </c>
      <c r="AO70" s="20">
        <f t="shared" si="41"/>
        <v>0</v>
      </c>
      <c r="AP70" s="20">
        <f t="shared" si="42"/>
        <v>18603</v>
      </c>
      <c r="AQ70" s="20">
        <f t="shared" si="43"/>
        <v>18603</v>
      </c>
      <c r="AR70" s="20">
        <f t="shared" si="44"/>
        <v>0</v>
      </c>
      <c r="AS70" s="20">
        <f t="shared" si="45"/>
        <v>18603</v>
      </c>
      <c r="AT70" s="20">
        <f t="shared" si="46"/>
        <v>18603</v>
      </c>
      <c r="AU70" s="20">
        <f t="shared" si="47"/>
        <v>18603</v>
      </c>
      <c r="AV70" s="20">
        <f t="shared" si="48"/>
        <v>18603</v>
      </c>
      <c r="AW70" s="20">
        <f t="shared" si="49"/>
        <v>9301</v>
      </c>
      <c r="AX70" s="20">
        <f t="shared" si="50"/>
        <v>9301</v>
      </c>
      <c r="AY70" s="20">
        <f t="shared" si="51"/>
        <v>9301</v>
      </c>
      <c r="AZ70" s="20">
        <f t="shared" si="52"/>
        <v>0</v>
      </c>
      <c r="BA70" s="20">
        <f t="shared" si="53"/>
        <v>9301</v>
      </c>
      <c r="BB70" s="20">
        <f t="shared" si="54"/>
        <v>116267</v>
      </c>
      <c r="BC70" s="20">
        <f t="shared" si="55"/>
        <v>0</v>
      </c>
      <c r="BD70" s="20">
        <f t="shared" si="56"/>
        <v>46507</v>
      </c>
      <c r="BE70" s="20">
        <f t="shared" si="57"/>
        <v>0</v>
      </c>
      <c r="BF70" s="20">
        <f t="shared" si="58"/>
        <v>0</v>
      </c>
      <c r="BG70" s="20">
        <f t="shared" si="59"/>
        <v>139521</v>
      </c>
      <c r="BH70" s="20">
        <f t="shared" si="60"/>
        <v>93014</v>
      </c>
      <c r="BI70" s="20">
        <f t="shared" si="61"/>
        <v>0</v>
      </c>
      <c r="BJ70" s="17" t="s">
        <v>922</v>
      </c>
      <c r="BK70" s="17" t="s">
        <v>559</v>
      </c>
      <c r="BL70" s="17" t="s">
        <v>560</v>
      </c>
      <c r="BM70" s="41">
        <f t="shared" si="62"/>
        <v>813872</v>
      </c>
      <c r="BN70" s="37">
        <f t="shared" si="37"/>
        <v>727321</v>
      </c>
    </row>
    <row r="71" spans="1:66" ht="34.5" customHeight="1">
      <c r="A71" s="8" t="s">
        <v>559</v>
      </c>
      <c r="B71" s="8" t="s">
        <v>560</v>
      </c>
      <c r="C71" s="60">
        <v>157</v>
      </c>
      <c r="D71" s="18" t="s">
        <v>562</v>
      </c>
      <c r="E71" s="39">
        <v>6196.84</v>
      </c>
      <c r="F71" s="19">
        <f t="shared" si="63"/>
        <v>619.68400000000008</v>
      </c>
      <c r="G71" s="19">
        <f t="shared" si="64"/>
        <v>117.73996000000001</v>
      </c>
      <c r="H71" s="19">
        <f t="shared" si="65"/>
        <v>6934.2639600000002</v>
      </c>
      <c r="J71" s="8">
        <f t="shared" si="36"/>
        <v>0</v>
      </c>
      <c r="K71" s="5"/>
      <c r="L71" s="5"/>
      <c r="M71" s="5"/>
      <c r="N71" s="5"/>
      <c r="O71" s="5"/>
      <c r="P71" s="5"/>
      <c r="Q71" s="5"/>
      <c r="R71" s="5"/>
      <c r="S71" s="5"/>
      <c r="T71" s="5"/>
      <c r="U71" s="5"/>
      <c r="V71" s="5"/>
      <c r="W71" s="5"/>
      <c r="X71" s="5"/>
      <c r="Y71" s="5"/>
      <c r="Z71" s="5"/>
      <c r="AA71" s="5"/>
      <c r="AB71" s="5"/>
      <c r="AC71" s="5"/>
      <c r="AD71" s="5"/>
      <c r="AE71" s="5"/>
      <c r="AF71" s="5"/>
      <c r="AG71" s="5"/>
      <c r="AH71" s="5"/>
      <c r="AI71" s="5"/>
      <c r="AK71" s="20">
        <f t="shared" si="66"/>
        <v>0</v>
      </c>
      <c r="AL71" s="20">
        <f t="shared" si="38"/>
        <v>0</v>
      </c>
      <c r="AM71" s="20">
        <f t="shared" si="39"/>
        <v>0</v>
      </c>
      <c r="AN71" s="20">
        <f t="shared" si="40"/>
        <v>0</v>
      </c>
      <c r="AO71" s="20">
        <f t="shared" si="41"/>
        <v>0</v>
      </c>
      <c r="AP71" s="20">
        <f t="shared" si="42"/>
        <v>0</v>
      </c>
      <c r="AQ71" s="20">
        <f t="shared" si="43"/>
        <v>0</v>
      </c>
      <c r="AR71" s="20">
        <f t="shared" si="44"/>
        <v>0</v>
      </c>
      <c r="AS71" s="20">
        <f t="shared" si="45"/>
        <v>0</v>
      </c>
      <c r="AT71" s="20">
        <f t="shared" si="46"/>
        <v>0</v>
      </c>
      <c r="AU71" s="20">
        <f t="shared" si="47"/>
        <v>0</v>
      </c>
      <c r="AV71" s="20">
        <f t="shared" si="48"/>
        <v>0</v>
      </c>
      <c r="AW71" s="20">
        <f t="shared" si="49"/>
        <v>0</v>
      </c>
      <c r="AX71" s="20">
        <f t="shared" si="50"/>
        <v>0</v>
      </c>
      <c r="AY71" s="20">
        <f t="shared" si="51"/>
        <v>0</v>
      </c>
      <c r="AZ71" s="20">
        <f t="shared" si="52"/>
        <v>0</v>
      </c>
      <c r="BA71" s="20">
        <f t="shared" si="53"/>
        <v>0</v>
      </c>
      <c r="BB71" s="20">
        <f t="shared" si="54"/>
        <v>0</v>
      </c>
      <c r="BC71" s="20">
        <f t="shared" si="55"/>
        <v>0</v>
      </c>
      <c r="BD71" s="20">
        <f t="shared" si="56"/>
        <v>0</v>
      </c>
      <c r="BE71" s="20">
        <f t="shared" si="57"/>
        <v>0</v>
      </c>
      <c r="BF71" s="20">
        <f t="shared" si="58"/>
        <v>0</v>
      </c>
      <c r="BG71" s="20">
        <f t="shared" si="59"/>
        <v>0</v>
      </c>
      <c r="BH71" s="20">
        <f t="shared" si="60"/>
        <v>0</v>
      </c>
      <c r="BI71" s="20">
        <f t="shared" si="61"/>
        <v>0</v>
      </c>
      <c r="BJ71" s="17" t="s">
        <v>922</v>
      </c>
      <c r="BK71" s="17" t="s">
        <v>559</v>
      </c>
      <c r="BL71" s="17" t="s">
        <v>560</v>
      </c>
      <c r="BM71" s="41">
        <f t="shared" si="62"/>
        <v>0</v>
      </c>
      <c r="BN71" s="37">
        <f t="shared" si="37"/>
        <v>0</v>
      </c>
    </row>
    <row r="72" spans="1:66" ht="34.5" customHeight="1">
      <c r="A72" s="8" t="s">
        <v>559</v>
      </c>
      <c r="B72" s="8" t="s">
        <v>560</v>
      </c>
      <c r="C72" s="60">
        <v>158</v>
      </c>
      <c r="D72" s="18" t="s">
        <v>563</v>
      </c>
      <c r="E72" s="39">
        <v>6332.21</v>
      </c>
      <c r="F72" s="19">
        <f t="shared" si="63"/>
        <v>633.221</v>
      </c>
      <c r="G72" s="19">
        <f t="shared" si="64"/>
        <v>120.31199000000001</v>
      </c>
      <c r="H72" s="19">
        <f t="shared" si="65"/>
        <v>7085.7429900000006</v>
      </c>
      <c r="J72" s="8">
        <f t="shared" si="36"/>
        <v>720</v>
      </c>
      <c r="K72" s="5">
        <v>30</v>
      </c>
      <c r="L72" s="5">
        <v>30</v>
      </c>
      <c r="M72" s="5">
        <v>30</v>
      </c>
      <c r="N72" s="5">
        <v>30</v>
      </c>
      <c r="O72" s="5">
        <v>30</v>
      </c>
      <c r="P72" s="5">
        <v>30</v>
      </c>
      <c r="Q72" s="5">
        <v>30</v>
      </c>
      <c r="R72" s="5">
        <v>30</v>
      </c>
      <c r="S72" s="5">
        <v>30</v>
      </c>
      <c r="T72" s="5">
        <v>30</v>
      </c>
      <c r="U72" s="5">
        <v>30</v>
      </c>
      <c r="V72" s="5">
        <v>30</v>
      </c>
      <c r="W72" s="5">
        <v>30</v>
      </c>
      <c r="X72" s="5">
        <v>30</v>
      </c>
      <c r="Y72" s="5">
        <v>30</v>
      </c>
      <c r="Z72" s="5">
        <v>30</v>
      </c>
      <c r="AA72" s="5">
        <v>30</v>
      </c>
      <c r="AB72" s="5">
        <v>30</v>
      </c>
      <c r="AC72" s="5">
        <v>30</v>
      </c>
      <c r="AD72" s="5">
        <v>30</v>
      </c>
      <c r="AE72" s="5">
        <v>30</v>
      </c>
      <c r="AF72" s="5">
        <v>30</v>
      </c>
      <c r="AG72" s="5"/>
      <c r="AH72" s="5">
        <v>30</v>
      </c>
      <c r="AI72" s="5">
        <v>30</v>
      </c>
      <c r="AK72" s="20">
        <f t="shared" si="66"/>
        <v>212572</v>
      </c>
      <c r="AL72" s="20">
        <f t="shared" si="38"/>
        <v>212572</v>
      </c>
      <c r="AM72" s="20">
        <f t="shared" si="39"/>
        <v>212572</v>
      </c>
      <c r="AN72" s="20">
        <f t="shared" si="40"/>
        <v>212572</v>
      </c>
      <c r="AO72" s="20">
        <f t="shared" si="41"/>
        <v>212572</v>
      </c>
      <c r="AP72" s="20">
        <f t="shared" si="42"/>
        <v>212572</v>
      </c>
      <c r="AQ72" s="20">
        <f t="shared" si="43"/>
        <v>212572</v>
      </c>
      <c r="AR72" s="20">
        <f t="shared" si="44"/>
        <v>212572</v>
      </c>
      <c r="AS72" s="20">
        <f t="shared" si="45"/>
        <v>212572</v>
      </c>
      <c r="AT72" s="20">
        <f t="shared" si="46"/>
        <v>212572</v>
      </c>
      <c r="AU72" s="20">
        <f t="shared" si="47"/>
        <v>212572</v>
      </c>
      <c r="AV72" s="20">
        <f t="shared" si="48"/>
        <v>212572</v>
      </c>
      <c r="AW72" s="20">
        <f t="shared" si="49"/>
        <v>212572</v>
      </c>
      <c r="AX72" s="20">
        <f t="shared" si="50"/>
        <v>212572</v>
      </c>
      <c r="AY72" s="20">
        <f t="shared" si="51"/>
        <v>212572</v>
      </c>
      <c r="AZ72" s="20">
        <f t="shared" si="52"/>
        <v>212572</v>
      </c>
      <c r="BA72" s="20">
        <f t="shared" si="53"/>
        <v>212572</v>
      </c>
      <c r="BB72" s="20">
        <f t="shared" si="54"/>
        <v>212572</v>
      </c>
      <c r="BC72" s="20">
        <f t="shared" si="55"/>
        <v>212572</v>
      </c>
      <c r="BD72" s="20">
        <f t="shared" si="56"/>
        <v>212572</v>
      </c>
      <c r="BE72" s="20">
        <f t="shared" si="57"/>
        <v>212572</v>
      </c>
      <c r="BF72" s="20">
        <f t="shared" si="58"/>
        <v>212572</v>
      </c>
      <c r="BG72" s="20">
        <f t="shared" si="59"/>
        <v>0</v>
      </c>
      <c r="BH72" s="20">
        <f t="shared" si="60"/>
        <v>212572</v>
      </c>
      <c r="BI72" s="20">
        <f t="shared" si="61"/>
        <v>212572</v>
      </c>
      <c r="BJ72" s="17" t="s">
        <v>922</v>
      </c>
      <c r="BK72" s="17" t="s">
        <v>559</v>
      </c>
      <c r="BL72" s="17" t="s">
        <v>560</v>
      </c>
      <c r="BM72" s="41">
        <f t="shared" si="62"/>
        <v>5101728</v>
      </c>
      <c r="BN72" s="37">
        <f t="shared" si="37"/>
        <v>4559191</v>
      </c>
    </row>
    <row r="73" spans="1:66" ht="78.75">
      <c r="A73" s="8" t="s">
        <v>564</v>
      </c>
      <c r="B73" s="8" t="s">
        <v>565</v>
      </c>
      <c r="C73" s="60">
        <v>159</v>
      </c>
      <c r="D73" s="18" t="s">
        <v>566</v>
      </c>
      <c r="E73" s="39">
        <v>1911.57</v>
      </c>
      <c r="F73" s="19">
        <f t="shared" si="63"/>
        <v>191.15700000000001</v>
      </c>
      <c r="G73" s="19">
        <f t="shared" si="64"/>
        <v>36.319830000000003</v>
      </c>
      <c r="H73" s="19">
        <f t="shared" si="65"/>
        <v>2139.0468299999998</v>
      </c>
      <c r="J73" s="8">
        <f t="shared" si="36"/>
        <v>50</v>
      </c>
      <c r="K73" s="105">
        <v>15</v>
      </c>
      <c r="L73" s="105"/>
      <c r="M73" s="105">
        <v>1</v>
      </c>
      <c r="N73" s="105"/>
      <c r="O73" s="8">
        <v>4</v>
      </c>
      <c r="P73" s="105">
        <v>3</v>
      </c>
      <c r="Q73" s="105">
        <v>4</v>
      </c>
      <c r="R73" s="105"/>
      <c r="S73" s="105">
        <v>1</v>
      </c>
      <c r="T73" s="105">
        <v>4</v>
      </c>
      <c r="U73" s="105">
        <v>4</v>
      </c>
      <c r="V73" s="105"/>
      <c r="W73" s="105">
        <v>1</v>
      </c>
      <c r="X73" s="105"/>
      <c r="Y73" s="105">
        <v>2</v>
      </c>
      <c r="Z73" s="105">
        <v>4</v>
      </c>
      <c r="AA73" s="105">
        <v>2</v>
      </c>
      <c r="AB73" s="105">
        <v>5</v>
      </c>
      <c r="AC73" s="105"/>
      <c r="AD73" s="105"/>
      <c r="AE73" s="105"/>
      <c r="AF73" s="105"/>
      <c r="AG73" s="105"/>
      <c r="AH73" s="105"/>
      <c r="AI73" s="105"/>
      <c r="AK73" s="20">
        <f t="shared" si="66"/>
        <v>32086</v>
      </c>
      <c r="AL73" s="20">
        <f t="shared" si="38"/>
        <v>0</v>
      </c>
      <c r="AM73" s="20">
        <f t="shared" si="39"/>
        <v>2139</v>
      </c>
      <c r="AN73" s="20">
        <f t="shared" si="40"/>
        <v>0</v>
      </c>
      <c r="AO73" s="20">
        <f t="shared" si="41"/>
        <v>8556</v>
      </c>
      <c r="AP73" s="20">
        <f t="shared" si="42"/>
        <v>6417</v>
      </c>
      <c r="AQ73" s="20">
        <f t="shared" si="43"/>
        <v>8556</v>
      </c>
      <c r="AR73" s="20">
        <f t="shared" si="44"/>
        <v>0</v>
      </c>
      <c r="AS73" s="20">
        <f t="shared" si="45"/>
        <v>2139</v>
      </c>
      <c r="AT73" s="20">
        <f t="shared" si="46"/>
        <v>8556</v>
      </c>
      <c r="AU73" s="20">
        <f t="shared" si="47"/>
        <v>8556</v>
      </c>
      <c r="AV73" s="20">
        <f t="shared" si="48"/>
        <v>0</v>
      </c>
      <c r="AW73" s="20">
        <f t="shared" si="49"/>
        <v>2139</v>
      </c>
      <c r="AX73" s="20">
        <f t="shared" si="50"/>
        <v>0</v>
      </c>
      <c r="AY73" s="20">
        <f t="shared" si="51"/>
        <v>4278</v>
      </c>
      <c r="AZ73" s="20">
        <f t="shared" si="52"/>
        <v>8556</v>
      </c>
      <c r="BA73" s="20">
        <f t="shared" si="53"/>
        <v>4278</v>
      </c>
      <c r="BB73" s="20">
        <f t="shared" si="54"/>
        <v>10695</v>
      </c>
      <c r="BC73" s="20">
        <f t="shared" si="55"/>
        <v>0</v>
      </c>
      <c r="BD73" s="20">
        <f t="shared" si="56"/>
        <v>0</v>
      </c>
      <c r="BE73" s="20">
        <f t="shared" si="57"/>
        <v>0</v>
      </c>
      <c r="BF73" s="20">
        <f t="shared" si="58"/>
        <v>0</v>
      </c>
      <c r="BG73" s="20">
        <f t="shared" si="59"/>
        <v>0</v>
      </c>
      <c r="BH73" s="20">
        <f t="shared" si="60"/>
        <v>0</v>
      </c>
      <c r="BI73" s="20">
        <f t="shared" si="61"/>
        <v>0</v>
      </c>
      <c r="BJ73" s="17" t="s">
        <v>923</v>
      </c>
      <c r="BK73" s="17" t="s">
        <v>564</v>
      </c>
      <c r="BL73" s="17" t="s">
        <v>565</v>
      </c>
      <c r="BM73" s="41">
        <f t="shared" si="62"/>
        <v>106951</v>
      </c>
      <c r="BN73" s="37">
        <f t="shared" si="37"/>
        <v>95579</v>
      </c>
    </row>
    <row r="74" spans="1:66" ht="56.25">
      <c r="A74" s="8" t="s">
        <v>567</v>
      </c>
      <c r="B74" s="22" t="s">
        <v>568</v>
      </c>
      <c r="C74" s="60">
        <v>160</v>
      </c>
      <c r="D74" s="18" t="s">
        <v>569</v>
      </c>
      <c r="E74" s="39">
        <v>1520.33</v>
      </c>
      <c r="F74" s="19">
        <f t="shared" si="63"/>
        <v>152.03299999999999</v>
      </c>
      <c r="G74" s="19">
        <f t="shared" si="64"/>
        <v>28.886269999999996</v>
      </c>
      <c r="H74" s="19">
        <f t="shared" si="65"/>
        <v>1701.2492699999998</v>
      </c>
      <c r="J74" s="8">
        <f t="shared" si="36"/>
        <v>110</v>
      </c>
      <c r="K74" s="5">
        <v>50</v>
      </c>
      <c r="L74" s="5"/>
      <c r="M74" s="5"/>
      <c r="N74" s="5"/>
      <c r="O74" s="5"/>
      <c r="P74" s="5"/>
      <c r="Q74" s="5"/>
      <c r="R74" s="5"/>
      <c r="S74" s="5"/>
      <c r="T74" s="5"/>
      <c r="U74" s="5"/>
      <c r="V74" s="5"/>
      <c r="W74" s="5"/>
      <c r="X74" s="5"/>
      <c r="Y74" s="5"/>
      <c r="Z74" s="5"/>
      <c r="AA74" s="5"/>
      <c r="AB74" s="5"/>
      <c r="AC74" s="5">
        <v>10</v>
      </c>
      <c r="AD74" s="5"/>
      <c r="AE74" s="5"/>
      <c r="AF74" s="5"/>
      <c r="AG74" s="5"/>
      <c r="AH74" s="5"/>
      <c r="AI74" s="5">
        <v>50</v>
      </c>
      <c r="AK74" s="215">
        <v>0</v>
      </c>
      <c r="AL74" s="20">
        <f t="shared" si="38"/>
        <v>0</v>
      </c>
      <c r="AM74" s="20">
        <f t="shared" si="39"/>
        <v>0</v>
      </c>
      <c r="AN74" s="20">
        <f t="shared" si="40"/>
        <v>0</v>
      </c>
      <c r="AO74" s="20">
        <f t="shared" si="41"/>
        <v>0</v>
      </c>
      <c r="AP74" s="20">
        <f t="shared" si="42"/>
        <v>0</v>
      </c>
      <c r="AQ74" s="20">
        <f t="shared" si="43"/>
        <v>0</v>
      </c>
      <c r="AR74" s="20">
        <f t="shared" si="44"/>
        <v>0</v>
      </c>
      <c r="AS74" s="20">
        <f t="shared" si="45"/>
        <v>0</v>
      </c>
      <c r="AT74" s="20">
        <f t="shared" si="46"/>
        <v>0</v>
      </c>
      <c r="AU74" s="20">
        <f t="shared" si="47"/>
        <v>0</v>
      </c>
      <c r="AV74" s="20">
        <f t="shared" si="48"/>
        <v>0</v>
      </c>
      <c r="AW74" s="20">
        <f t="shared" si="49"/>
        <v>0</v>
      </c>
      <c r="AX74" s="20">
        <f t="shared" si="50"/>
        <v>0</v>
      </c>
      <c r="AY74" s="20">
        <f t="shared" si="51"/>
        <v>0</v>
      </c>
      <c r="AZ74" s="20">
        <f t="shared" si="52"/>
        <v>0</v>
      </c>
      <c r="BA74" s="20">
        <f t="shared" si="53"/>
        <v>0</v>
      </c>
      <c r="BB74" s="20">
        <f t="shared" si="54"/>
        <v>0</v>
      </c>
      <c r="BC74" s="215">
        <v>0</v>
      </c>
      <c r="BD74" s="20">
        <f t="shared" si="56"/>
        <v>0</v>
      </c>
      <c r="BE74" s="20">
        <f t="shared" si="57"/>
        <v>0</v>
      </c>
      <c r="BF74" s="20">
        <f t="shared" si="58"/>
        <v>0</v>
      </c>
      <c r="BG74" s="20">
        <f t="shared" si="59"/>
        <v>0</v>
      </c>
      <c r="BH74" s="20">
        <f t="shared" si="60"/>
        <v>0</v>
      </c>
      <c r="BI74" s="215">
        <v>0</v>
      </c>
      <c r="BJ74" s="23" t="s">
        <v>924</v>
      </c>
      <c r="BK74" s="17" t="s">
        <v>567</v>
      </c>
      <c r="BL74" s="23" t="s">
        <v>568</v>
      </c>
      <c r="BM74" s="41">
        <f t="shared" si="62"/>
        <v>0</v>
      </c>
      <c r="BN74" s="37">
        <f t="shared" si="37"/>
        <v>167236</v>
      </c>
    </row>
    <row r="75" spans="1:66" ht="67.5">
      <c r="A75" s="8" t="s">
        <v>570</v>
      </c>
      <c r="B75" s="21" t="s">
        <v>571</v>
      </c>
      <c r="C75" s="60">
        <v>161</v>
      </c>
      <c r="D75" s="18" t="s">
        <v>572</v>
      </c>
      <c r="E75" s="39">
        <v>2051.4499999999998</v>
      </c>
      <c r="F75" s="19">
        <f t="shared" si="63"/>
        <v>205.14499999999998</v>
      </c>
      <c r="G75" s="19">
        <f t="shared" si="64"/>
        <v>38.977549999999994</v>
      </c>
      <c r="H75" s="19">
        <f t="shared" si="65"/>
        <v>2295.5725499999999</v>
      </c>
      <c r="J75" s="8">
        <f t="shared" si="36"/>
        <v>0</v>
      </c>
      <c r="K75" s="5"/>
      <c r="L75" s="5"/>
      <c r="M75" s="5"/>
      <c r="N75" s="5"/>
      <c r="O75" s="5"/>
      <c r="P75" s="5"/>
      <c r="Q75" s="5"/>
      <c r="R75" s="5"/>
      <c r="S75" s="5"/>
      <c r="T75" s="5"/>
      <c r="U75" s="5"/>
      <c r="V75" s="5"/>
      <c r="W75" s="5"/>
      <c r="X75" s="5"/>
      <c r="Y75" s="5"/>
      <c r="Z75" s="5"/>
      <c r="AA75" s="5"/>
      <c r="AB75" s="5"/>
      <c r="AC75" s="5"/>
      <c r="AD75" s="5"/>
      <c r="AE75" s="5"/>
      <c r="AF75" s="5"/>
      <c r="AG75" s="5"/>
      <c r="AH75" s="5"/>
      <c r="AI75" s="5"/>
      <c r="AK75" s="20">
        <f t="shared" si="66"/>
        <v>0</v>
      </c>
      <c r="AL75" s="20">
        <f t="shared" si="38"/>
        <v>0</v>
      </c>
      <c r="AM75" s="20">
        <f t="shared" si="39"/>
        <v>0</v>
      </c>
      <c r="AN75" s="20">
        <f t="shared" si="40"/>
        <v>0</v>
      </c>
      <c r="AO75" s="20">
        <f t="shared" si="41"/>
        <v>0</v>
      </c>
      <c r="AP75" s="20">
        <f t="shared" si="42"/>
        <v>0</v>
      </c>
      <c r="AQ75" s="20">
        <f t="shared" si="43"/>
        <v>0</v>
      </c>
      <c r="AR75" s="20">
        <f t="shared" si="44"/>
        <v>0</v>
      </c>
      <c r="AS75" s="20">
        <f t="shared" si="45"/>
        <v>0</v>
      </c>
      <c r="AT75" s="20">
        <f t="shared" si="46"/>
        <v>0</v>
      </c>
      <c r="AU75" s="20">
        <f t="shared" si="47"/>
        <v>0</v>
      </c>
      <c r="AV75" s="20">
        <f t="shared" si="48"/>
        <v>0</v>
      </c>
      <c r="AW75" s="20">
        <f t="shared" si="49"/>
        <v>0</v>
      </c>
      <c r="AX75" s="20">
        <f t="shared" si="50"/>
        <v>0</v>
      </c>
      <c r="AY75" s="20">
        <f t="shared" si="51"/>
        <v>0</v>
      </c>
      <c r="AZ75" s="20">
        <f t="shared" si="52"/>
        <v>0</v>
      </c>
      <c r="BA75" s="20">
        <f t="shared" si="53"/>
        <v>0</v>
      </c>
      <c r="BB75" s="20">
        <f t="shared" si="54"/>
        <v>0</v>
      </c>
      <c r="BC75" s="20">
        <f t="shared" si="55"/>
        <v>0</v>
      </c>
      <c r="BD75" s="20">
        <f t="shared" si="56"/>
        <v>0</v>
      </c>
      <c r="BE75" s="20">
        <f t="shared" si="57"/>
        <v>0</v>
      </c>
      <c r="BF75" s="20">
        <f t="shared" si="58"/>
        <v>0</v>
      </c>
      <c r="BG75" s="20">
        <f t="shared" si="59"/>
        <v>0</v>
      </c>
      <c r="BH75" s="20">
        <f t="shared" si="60"/>
        <v>0</v>
      </c>
      <c r="BI75" s="20">
        <f t="shared" si="61"/>
        <v>0</v>
      </c>
      <c r="BJ75" s="21" t="s">
        <v>925</v>
      </c>
      <c r="BK75" s="17" t="s">
        <v>570</v>
      </c>
      <c r="BL75" s="21" t="s">
        <v>571</v>
      </c>
      <c r="BM75" s="41">
        <f t="shared" si="62"/>
        <v>0</v>
      </c>
      <c r="BN75" s="37">
        <f t="shared" si="37"/>
        <v>0</v>
      </c>
    </row>
    <row r="76" spans="1:66" ht="67.5">
      <c r="A76" s="8" t="s">
        <v>570</v>
      </c>
      <c r="B76" s="21" t="s">
        <v>571</v>
      </c>
      <c r="C76" s="60">
        <v>162</v>
      </c>
      <c r="D76" s="18" t="s">
        <v>573</v>
      </c>
      <c r="E76" s="39">
        <v>1923.24</v>
      </c>
      <c r="F76" s="19">
        <f t="shared" si="63"/>
        <v>192.32400000000001</v>
      </c>
      <c r="G76" s="19">
        <f t="shared" si="64"/>
        <v>36.541560000000004</v>
      </c>
      <c r="H76" s="19">
        <f t="shared" si="65"/>
        <v>2152.10556</v>
      </c>
      <c r="J76" s="8">
        <f t="shared" si="36"/>
        <v>37</v>
      </c>
      <c r="K76" s="5">
        <v>15</v>
      </c>
      <c r="L76" s="5">
        <v>4</v>
      </c>
      <c r="M76" s="5"/>
      <c r="N76" s="5"/>
      <c r="O76" s="8"/>
      <c r="P76" s="5">
        <v>4</v>
      </c>
      <c r="Q76" s="5"/>
      <c r="R76" s="5"/>
      <c r="S76" s="5">
        <v>4</v>
      </c>
      <c r="T76" s="5"/>
      <c r="U76" s="5"/>
      <c r="V76" s="5">
        <v>4</v>
      </c>
      <c r="W76" s="5"/>
      <c r="X76" s="5"/>
      <c r="Y76" s="5">
        <v>2</v>
      </c>
      <c r="Z76" s="5"/>
      <c r="AA76" s="5">
        <v>4</v>
      </c>
      <c r="AB76" s="5"/>
      <c r="AC76" s="5"/>
      <c r="AD76" s="5"/>
      <c r="AE76" s="5"/>
      <c r="AF76" s="5"/>
      <c r="AG76" s="5"/>
      <c r="AH76" s="5"/>
      <c r="AI76" s="5"/>
      <c r="AK76" s="20">
        <f t="shared" si="66"/>
        <v>32282</v>
      </c>
      <c r="AL76" s="20">
        <f t="shared" si="38"/>
        <v>8608</v>
      </c>
      <c r="AM76" s="20">
        <f t="shared" si="39"/>
        <v>0</v>
      </c>
      <c r="AN76" s="20">
        <f t="shared" si="40"/>
        <v>0</v>
      </c>
      <c r="AO76" s="20">
        <f t="shared" si="41"/>
        <v>0</v>
      </c>
      <c r="AP76" s="20">
        <f t="shared" si="42"/>
        <v>8608</v>
      </c>
      <c r="AQ76" s="20">
        <f t="shared" si="43"/>
        <v>0</v>
      </c>
      <c r="AR76" s="20">
        <f t="shared" si="44"/>
        <v>0</v>
      </c>
      <c r="AS76" s="20">
        <f t="shared" si="45"/>
        <v>8608</v>
      </c>
      <c r="AT76" s="20">
        <f t="shared" si="46"/>
        <v>0</v>
      </c>
      <c r="AU76" s="20">
        <f t="shared" si="47"/>
        <v>0</v>
      </c>
      <c r="AV76" s="20">
        <f t="shared" si="48"/>
        <v>8608</v>
      </c>
      <c r="AW76" s="20">
        <f t="shared" si="49"/>
        <v>0</v>
      </c>
      <c r="AX76" s="20">
        <f t="shared" si="50"/>
        <v>0</v>
      </c>
      <c r="AY76" s="20">
        <f t="shared" si="51"/>
        <v>4304</v>
      </c>
      <c r="AZ76" s="20">
        <f t="shared" si="52"/>
        <v>0</v>
      </c>
      <c r="BA76" s="20">
        <f t="shared" si="53"/>
        <v>8608</v>
      </c>
      <c r="BB76" s="20">
        <f t="shared" si="54"/>
        <v>0</v>
      </c>
      <c r="BC76" s="20">
        <f t="shared" si="55"/>
        <v>0</v>
      </c>
      <c r="BD76" s="20">
        <f t="shared" si="56"/>
        <v>0</v>
      </c>
      <c r="BE76" s="20">
        <f t="shared" si="57"/>
        <v>0</v>
      </c>
      <c r="BF76" s="20">
        <f t="shared" si="58"/>
        <v>0</v>
      </c>
      <c r="BG76" s="20">
        <f t="shared" si="59"/>
        <v>0</v>
      </c>
      <c r="BH76" s="20">
        <f t="shared" si="60"/>
        <v>0</v>
      </c>
      <c r="BI76" s="20">
        <f t="shared" si="61"/>
        <v>0</v>
      </c>
      <c r="BJ76" s="21" t="s">
        <v>925</v>
      </c>
      <c r="BK76" s="17" t="s">
        <v>570</v>
      </c>
      <c r="BL76" s="21" t="s">
        <v>571</v>
      </c>
      <c r="BM76" s="41">
        <f t="shared" si="62"/>
        <v>79626</v>
      </c>
      <c r="BN76" s="37">
        <f t="shared" si="37"/>
        <v>71160</v>
      </c>
    </row>
    <row r="77" spans="1:66" ht="45">
      <c r="A77" s="8" t="s">
        <v>574</v>
      </c>
      <c r="B77" s="21" t="s">
        <v>575</v>
      </c>
      <c r="C77" s="60">
        <v>168</v>
      </c>
      <c r="D77" s="18" t="s">
        <v>576</v>
      </c>
      <c r="E77" s="39">
        <v>22064.32</v>
      </c>
      <c r="F77" s="19">
        <f t="shared" si="63"/>
        <v>2206.4320000000002</v>
      </c>
      <c r="G77" s="19">
        <f t="shared" si="64"/>
        <v>419.22208000000006</v>
      </c>
      <c r="H77" s="19">
        <f t="shared" si="65"/>
        <v>24689.97408</v>
      </c>
      <c r="J77" s="8">
        <f t="shared" si="36"/>
        <v>13</v>
      </c>
      <c r="K77" s="5">
        <v>6</v>
      </c>
      <c r="L77" s="5">
        <v>2</v>
      </c>
      <c r="M77" s="5">
        <v>1</v>
      </c>
      <c r="N77" s="5"/>
      <c r="O77" s="5"/>
      <c r="P77" s="5"/>
      <c r="Q77" s="5">
        <v>2</v>
      </c>
      <c r="R77" s="5"/>
      <c r="S77" s="5"/>
      <c r="T77" s="5"/>
      <c r="U77" s="5"/>
      <c r="V77" s="5"/>
      <c r="W77" s="5"/>
      <c r="X77" s="5"/>
      <c r="Y77" s="5"/>
      <c r="Z77" s="5"/>
      <c r="AA77" s="5"/>
      <c r="AB77" s="5"/>
      <c r="AC77" s="5"/>
      <c r="AD77" s="5"/>
      <c r="AE77" s="5"/>
      <c r="AF77" s="5"/>
      <c r="AG77" s="5"/>
      <c r="AH77" s="5"/>
      <c r="AI77" s="5">
        <v>2</v>
      </c>
      <c r="AK77" s="20">
        <f t="shared" si="66"/>
        <v>148140</v>
      </c>
      <c r="AL77" s="20">
        <f t="shared" si="38"/>
        <v>49380</v>
      </c>
      <c r="AM77" s="20">
        <f t="shared" si="39"/>
        <v>24690</v>
      </c>
      <c r="AN77" s="20">
        <f t="shared" si="40"/>
        <v>0</v>
      </c>
      <c r="AO77" s="20">
        <f t="shared" si="41"/>
        <v>0</v>
      </c>
      <c r="AP77" s="20">
        <f t="shared" si="42"/>
        <v>0</v>
      </c>
      <c r="AQ77" s="20">
        <f t="shared" si="43"/>
        <v>49380</v>
      </c>
      <c r="AR77" s="20">
        <f t="shared" si="44"/>
        <v>0</v>
      </c>
      <c r="AS77" s="20">
        <f t="shared" si="45"/>
        <v>0</v>
      </c>
      <c r="AT77" s="20">
        <f t="shared" si="46"/>
        <v>0</v>
      </c>
      <c r="AU77" s="20">
        <f t="shared" si="47"/>
        <v>0</v>
      </c>
      <c r="AV77" s="20">
        <f t="shared" si="48"/>
        <v>0</v>
      </c>
      <c r="AW77" s="20">
        <f t="shared" si="49"/>
        <v>0</v>
      </c>
      <c r="AX77" s="20">
        <f t="shared" si="50"/>
        <v>0</v>
      </c>
      <c r="AY77" s="20">
        <f t="shared" si="51"/>
        <v>0</v>
      </c>
      <c r="AZ77" s="20">
        <f t="shared" si="52"/>
        <v>0</v>
      </c>
      <c r="BA77" s="20">
        <f t="shared" si="53"/>
        <v>0</v>
      </c>
      <c r="BB77" s="20">
        <f t="shared" si="54"/>
        <v>0</v>
      </c>
      <c r="BC77" s="20">
        <f t="shared" si="55"/>
        <v>0</v>
      </c>
      <c r="BD77" s="20">
        <f t="shared" si="56"/>
        <v>0</v>
      </c>
      <c r="BE77" s="20">
        <f t="shared" si="57"/>
        <v>0</v>
      </c>
      <c r="BF77" s="20">
        <f t="shared" si="58"/>
        <v>0</v>
      </c>
      <c r="BG77" s="20">
        <f t="shared" si="59"/>
        <v>0</v>
      </c>
      <c r="BH77" s="20">
        <f t="shared" si="60"/>
        <v>0</v>
      </c>
      <c r="BI77" s="20">
        <f t="shared" si="61"/>
        <v>49380</v>
      </c>
      <c r="BJ77" s="21" t="s">
        <v>926</v>
      </c>
      <c r="BK77" s="17" t="s">
        <v>574</v>
      </c>
      <c r="BL77" s="21" t="s">
        <v>575</v>
      </c>
      <c r="BM77" s="41">
        <f t="shared" si="62"/>
        <v>320970</v>
      </c>
      <c r="BN77" s="37">
        <f t="shared" si="37"/>
        <v>286836</v>
      </c>
    </row>
    <row r="78" spans="1:66" ht="45">
      <c r="A78" s="8" t="s">
        <v>574</v>
      </c>
      <c r="B78" s="21" t="s">
        <v>575</v>
      </c>
      <c r="C78" s="60">
        <v>169</v>
      </c>
      <c r="D78" s="18" t="s">
        <v>808</v>
      </c>
      <c r="E78" s="39">
        <v>193919</v>
      </c>
      <c r="F78" s="19">
        <f t="shared" si="63"/>
        <v>19391.900000000001</v>
      </c>
      <c r="G78" s="19">
        <f t="shared" si="64"/>
        <v>3684.4610000000002</v>
      </c>
      <c r="H78" s="19">
        <f t="shared" si="65"/>
        <v>216995.361</v>
      </c>
      <c r="J78" s="8">
        <f t="shared" si="36"/>
        <v>0</v>
      </c>
      <c r="K78" s="5"/>
      <c r="L78" s="5"/>
      <c r="M78" s="5"/>
      <c r="N78" s="5"/>
      <c r="O78" s="5"/>
      <c r="P78" s="5"/>
      <c r="Q78" s="5"/>
      <c r="R78" s="5"/>
      <c r="S78" s="5"/>
      <c r="T78" s="5"/>
      <c r="U78" s="5"/>
      <c r="V78" s="5"/>
      <c r="W78" s="5"/>
      <c r="X78" s="5"/>
      <c r="Y78" s="5"/>
      <c r="Z78" s="5"/>
      <c r="AA78" s="5"/>
      <c r="AB78" s="5"/>
      <c r="AC78" s="5"/>
      <c r="AD78" s="5"/>
      <c r="AE78" s="5"/>
      <c r="AF78" s="5"/>
      <c r="AG78" s="5"/>
      <c r="AH78" s="5"/>
      <c r="AI78" s="5"/>
      <c r="AK78" s="20">
        <f t="shared" si="66"/>
        <v>0</v>
      </c>
      <c r="AL78" s="20">
        <f t="shared" si="38"/>
        <v>0</v>
      </c>
      <c r="AM78" s="20">
        <f t="shared" si="39"/>
        <v>0</v>
      </c>
      <c r="AN78" s="20">
        <f t="shared" si="40"/>
        <v>0</v>
      </c>
      <c r="AO78" s="20">
        <f t="shared" si="41"/>
        <v>0</v>
      </c>
      <c r="AP78" s="20">
        <f t="shared" si="42"/>
        <v>0</v>
      </c>
      <c r="AQ78" s="20">
        <f t="shared" si="43"/>
        <v>0</v>
      </c>
      <c r="AR78" s="20">
        <f t="shared" si="44"/>
        <v>0</v>
      </c>
      <c r="AS78" s="20">
        <f t="shared" si="45"/>
        <v>0</v>
      </c>
      <c r="AT78" s="20">
        <f t="shared" si="46"/>
        <v>0</v>
      </c>
      <c r="AU78" s="20">
        <f t="shared" si="47"/>
        <v>0</v>
      </c>
      <c r="AV78" s="20">
        <f t="shared" si="48"/>
        <v>0</v>
      </c>
      <c r="AW78" s="20">
        <f t="shared" si="49"/>
        <v>0</v>
      </c>
      <c r="AX78" s="20">
        <f t="shared" si="50"/>
        <v>0</v>
      </c>
      <c r="AY78" s="20">
        <f t="shared" si="51"/>
        <v>0</v>
      </c>
      <c r="AZ78" s="20">
        <f t="shared" si="52"/>
        <v>0</v>
      </c>
      <c r="BA78" s="20">
        <f t="shared" si="53"/>
        <v>0</v>
      </c>
      <c r="BB78" s="20">
        <f t="shared" si="54"/>
        <v>0</v>
      </c>
      <c r="BC78" s="20">
        <f t="shared" si="55"/>
        <v>0</v>
      </c>
      <c r="BD78" s="20">
        <f t="shared" si="56"/>
        <v>0</v>
      </c>
      <c r="BE78" s="20">
        <f t="shared" si="57"/>
        <v>0</v>
      </c>
      <c r="BF78" s="20">
        <f t="shared" si="58"/>
        <v>0</v>
      </c>
      <c r="BG78" s="20">
        <f t="shared" si="59"/>
        <v>0</v>
      </c>
      <c r="BH78" s="20">
        <f t="shared" si="60"/>
        <v>0</v>
      </c>
      <c r="BI78" s="20">
        <f t="shared" si="61"/>
        <v>0</v>
      </c>
      <c r="BJ78" s="21" t="s">
        <v>926</v>
      </c>
      <c r="BK78" s="17" t="s">
        <v>574</v>
      </c>
      <c r="BL78" s="21" t="s">
        <v>575</v>
      </c>
      <c r="BM78" s="41">
        <f t="shared" si="62"/>
        <v>0</v>
      </c>
      <c r="BN78" s="37">
        <f t="shared" si="37"/>
        <v>0</v>
      </c>
    </row>
    <row r="79" spans="1:66" ht="34.5" customHeight="1">
      <c r="A79" s="8" t="s">
        <v>577</v>
      </c>
      <c r="B79" s="17" t="s">
        <v>578</v>
      </c>
      <c r="C79" s="60">
        <v>170</v>
      </c>
      <c r="D79" s="18" t="s">
        <v>579</v>
      </c>
      <c r="E79" s="39">
        <v>10801.87</v>
      </c>
      <c r="F79" s="19">
        <f t="shared" si="63"/>
        <v>1080.1870000000001</v>
      </c>
      <c r="G79" s="19">
        <f t="shared" si="64"/>
        <v>205.23553000000004</v>
      </c>
      <c r="H79" s="19">
        <f t="shared" si="65"/>
        <v>12087.292530000001</v>
      </c>
      <c r="J79" s="8">
        <f t="shared" si="36"/>
        <v>910</v>
      </c>
      <c r="K79" s="5">
        <v>450</v>
      </c>
      <c r="L79" s="5">
        <v>40</v>
      </c>
      <c r="M79" s="5">
        <v>40</v>
      </c>
      <c r="N79" s="5"/>
      <c r="O79" s="8"/>
      <c r="P79" s="5"/>
      <c r="Q79" s="5">
        <v>50</v>
      </c>
      <c r="R79" s="5"/>
      <c r="S79" s="5">
        <v>50</v>
      </c>
      <c r="T79" s="5">
        <v>30</v>
      </c>
      <c r="U79" s="5">
        <v>60</v>
      </c>
      <c r="V79" s="5">
        <v>10</v>
      </c>
      <c r="W79" s="5">
        <v>20</v>
      </c>
      <c r="X79" s="5">
        <v>10</v>
      </c>
      <c r="Y79" s="5">
        <v>30</v>
      </c>
      <c r="Z79" s="5"/>
      <c r="AA79" s="5">
        <v>10</v>
      </c>
      <c r="AB79" s="5">
        <v>20</v>
      </c>
      <c r="AC79" s="5"/>
      <c r="AD79" s="5">
        <v>60</v>
      </c>
      <c r="AE79" s="5"/>
      <c r="AF79" s="5"/>
      <c r="AG79" s="5">
        <v>10</v>
      </c>
      <c r="AH79" s="5">
        <v>20</v>
      </c>
      <c r="AI79" s="5"/>
      <c r="AK79" s="20">
        <f t="shared" si="66"/>
        <v>5439282</v>
      </c>
      <c r="AL79" s="20">
        <f t="shared" si="38"/>
        <v>483492</v>
      </c>
      <c r="AM79" s="20">
        <f t="shared" si="39"/>
        <v>483492</v>
      </c>
      <c r="AN79" s="20">
        <f t="shared" si="40"/>
        <v>0</v>
      </c>
      <c r="AO79" s="20">
        <f t="shared" si="41"/>
        <v>0</v>
      </c>
      <c r="AP79" s="20">
        <f t="shared" si="42"/>
        <v>0</v>
      </c>
      <c r="AQ79" s="20">
        <f t="shared" si="43"/>
        <v>604365</v>
      </c>
      <c r="AR79" s="20">
        <f t="shared" si="44"/>
        <v>0</v>
      </c>
      <c r="AS79" s="20">
        <f t="shared" si="45"/>
        <v>604365</v>
      </c>
      <c r="AT79" s="20">
        <f t="shared" si="46"/>
        <v>362619</v>
      </c>
      <c r="AU79" s="20">
        <f t="shared" si="47"/>
        <v>725238</v>
      </c>
      <c r="AV79" s="20">
        <f t="shared" si="48"/>
        <v>120873</v>
      </c>
      <c r="AW79" s="20">
        <f t="shared" si="49"/>
        <v>241746</v>
      </c>
      <c r="AX79" s="20">
        <f t="shared" si="50"/>
        <v>120873</v>
      </c>
      <c r="AY79" s="20">
        <f t="shared" si="51"/>
        <v>362619</v>
      </c>
      <c r="AZ79" s="20">
        <f t="shared" si="52"/>
        <v>0</v>
      </c>
      <c r="BA79" s="20">
        <f t="shared" si="53"/>
        <v>120873</v>
      </c>
      <c r="BB79" s="20">
        <f t="shared" si="54"/>
        <v>241746</v>
      </c>
      <c r="BC79" s="20">
        <f t="shared" si="55"/>
        <v>0</v>
      </c>
      <c r="BD79" s="20">
        <f t="shared" si="56"/>
        <v>725238</v>
      </c>
      <c r="BE79" s="20">
        <f t="shared" si="57"/>
        <v>0</v>
      </c>
      <c r="BF79" s="20">
        <f t="shared" si="58"/>
        <v>0</v>
      </c>
      <c r="BG79" s="20">
        <f t="shared" si="59"/>
        <v>120873</v>
      </c>
      <c r="BH79" s="20">
        <f t="shared" si="60"/>
        <v>241746</v>
      </c>
      <c r="BI79" s="20">
        <f t="shared" si="61"/>
        <v>0</v>
      </c>
      <c r="BJ79" s="17" t="s">
        <v>939</v>
      </c>
      <c r="BK79" s="17" t="s">
        <v>577</v>
      </c>
      <c r="BL79" s="17" t="s">
        <v>578</v>
      </c>
      <c r="BM79" s="41">
        <f t="shared" si="62"/>
        <v>10999440</v>
      </c>
      <c r="BN79" s="37">
        <f t="shared" si="37"/>
        <v>9829702</v>
      </c>
    </row>
    <row r="80" spans="1:66" ht="34.5" customHeight="1">
      <c r="A80" s="8" t="s">
        <v>580</v>
      </c>
      <c r="B80" s="8" t="s">
        <v>581</v>
      </c>
      <c r="C80" s="60">
        <v>174</v>
      </c>
      <c r="D80" s="18" t="s">
        <v>582</v>
      </c>
      <c r="E80" s="39">
        <v>8516.18</v>
      </c>
      <c r="F80" s="19">
        <f t="shared" si="63"/>
        <v>851.61800000000005</v>
      </c>
      <c r="G80" s="19">
        <f t="shared" si="64"/>
        <v>161.80742000000001</v>
      </c>
      <c r="H80" s="19">
        <f t="shared" si="65"/>
        <v>9529.6054199999999</v>
      </c>
      <c r="J80" s="8">
        <f t="shared" si="36"/>
        <v>5</v>
      </c>
      <c r="K80" s="5">
        <v>5</v>
      </c>
      <c r="L80" s="5"/>
      <c r="M80" s="5"/>
      <c r="N80" s="5"/>
      <c r="O80" s="5"/>
      <c r="P80" s="5"/>
      <c r="Q80" s="5"/>
      <c r="R80" s="5"/>
      <c r="S80" s="5"/>
      <c r="T80" s="5"/>
      <c r="U80" s="5"/>
      <c r="V80" s="5"/>
      <c r="W80" s="5"/>
      <c r="X80" s="5"/>
      <c r="Y80" s="5"/>
      <c r="Z80" s="5"/>
      <c r="AA80" s="5"/>
      <c r="AB80" s="5"/>
      <c r="AC80" s="5"/>
      <c r="AD80" s="5"/>
      <c r="AE80" s="5"/>
      <c r="AF80" s="5"/>
      <c r="AG80" s="5"/>
      <c r="AH80" s="5"/>
      <c r="AI80" s="5"/>
      <c r="AK80" s="20">
        <f t="shared" si="66"/>
        <v>47648</v>
      </c>
      <c r="AL80" s="20">
        <f t="shared" si="38"/>
        <v>0</v>
      </c>
      <c r="AM80" s="20">
        <f t="shared" si="39"/>
        <v>0</v>
      </c>
      <c r="AN80" s="20">
        <f t="shared" si="40"/>
        <v>0</v>
      </c>
      <c r="AO80" s="20">
        <f t="shared" si="41"/>
        <v>0</v>
      </c>
      <c r="AP80" s="20">
        <f t="shared" si="42"/>
        <v>0</v>
      </c>
      <c r="AQ80" s="20">
        <f t="shared" si="43"/>
        <v>0</v>
      </c>
      <c r="AR80" s="20">
        <f t="shared" si="44"/>
        <v>0</v>
      </c>
      <c r="AS80" s="20">
        <f t="shared" si="45"/>
        <v>0</v>
      </c>
      <c r="AT80" s="20">
        <f t="shared" si="46"/>
        <v>0</v>
      </c>
      <c r="AU80" s="20">
        <f t="shared" si="47"/>
        <v>0</v>
      </c>
      <c r="AV80" s="20">
        <f t="shared" si="48"/>
        <v>0</v>
      </c>
      <c r="AW80" s="20">
        <f t="shared" si="49"/>
        <v>0</v>
      </c>
      <c r="AX80" s="20">
        <f t="shared" si="50"/>
        <v>0</v>
      </c>
      <c r="AY80" s="20">
        <f t="shared" si="51"/>
        <v>0</v>
      </c>
      <c r="AZ80" s="20">
        <f t="shared" si="52"/>
        <v>0</v>
      </c>
      <c r="BA80" s="20">
        <f t="shared" si="53"/>
        <v>0</v>
      </c>
      <c r="BB80" s="20">
        <f t="shared" si="54"/>
        <v>0</v>
      </c>
      <c r="BC80" s="20">
        <f t="shared" si="55"/>
        <v>0</v>
      </c>
      <c r="BD80" s="20">
        <f t="shared" si="56"/>
        <v>0</v>
      </c>
      <c r="BE80" s="20">
        <f t="shared" si="57"/>
        <v>0</v>
      </c>
      <c r="BF80" s="20">
        <f t="shared" si="58"/>
        <v>0</v>
      </c>
      <c r="BG80" s="20">
        <f t="shared" si="59"/>
        <v>0</v>
      </c>
      <c r="BH80" s="20">
        <f t="shared" si="60"/>
        <v>0</v>
      </c>
      <c r="BI80" s="20">
        <f t="shared" si="61"/>
        <v>0</v>
      </c>
      <c r="BJ80" s="17" t="s">
        <v>940</v>
      </c>
      <c r="BK80" s="17" t="s">
        <v>580</v>
      </c>
      <c r="BL80" s="17" t="s">
        <v>581</v>
      </c>
      <c r="BM80" s="41">
        <f t="shared" si="62"/>
        <v>47648</v>
      </c>
      <c r="BN80" s="37">
        <f t="shared" si="37"/>
        <v>42581</v>
      </c>
    </row>
    <row r="81" spans="1:66" ht="33.75">
      <c r="A81" s="8" t="s">
        <v>583</v>
      </c>
      <c r="B81" s="17" t="s">
        <v>584</v>
      </c>
      <c r="C81" s="60">
        <v>175</v>
      </c>
      <c r="D81" s="18" t="s">
        <v>585</v>
      </c>
      <c r="E81" s="39">
        <v>5302.9</v>
      </c>
      <c r="F81" s="19">
        <f t="shared" si="63"/>
        <v>530.29</v>
      </c>
      <c r="G81" s="19">
        <f t="shared" si="64"/>
        <v>100.7551</v>
      </c>
      <c r="H81" s="19">
        <f t="shared" si="65"/>
        <v>5933.9450999999999</v>
      </c>
      <c r="J81" s="8">
        <f t="shared" si="36"/>
        <v>405</v>
      </c>
      <c r="K81" s="5">
        <v>80</v>
      </c>
      <c r="L81" s="5">
        <v>30</v>
      </c>
      <c r="M81" s="5">
        <v>30</v>
      </c>
      <c r="N81" s="5"/>
      <c r="O81" s="8"/>
      <c r="P81" s="5"/>
      <c r="Q81" s="5">
        <v>60</v>
      </c>
      <c r="R81" s="5"/>
      <c r="S81" s="5"/>
      <c r="T81" s="5">
        <v>50</v>
      </c>
      <c r="U81" s="5">
        <v>60</v>
      </c>
      <c r="V81" s="5"/>
      <c r="W81" s="5">
        <v>30</v>
      </c>
      <c r="X81" s="5">
        <v>10</v>
      </c>
      <c r="Y81" s="5">
        <v>10</v>
      </c>
      <c r="Z81" s="5"/>
      <c r="AA81" s="5">
        <v>10</v>
      </c>
      <c r="AB81" s="5">
        <v>10</v>
      </c>
      <c r="AC81" s="5"/>
      <c r="AD81" s="5"/>
      <c r="AE81" s="5"/>
      <c r="AF81" s="5"/>
      <c r="AG81" s="5">
        <v>20</v>
      </c>
      <c r="AH81" s="5"/>
      <c r="AI81" s="5">
        <v>5</v>
      </c>
      <c r="AK81" s="20">
        <f t="shared" si="66"/>
        <v>474716</v>
      </c>
      <c r="AL81" s="20">
        <f t="shared" si="38"/>
        <v>178018</v>
      </c>
      <c r="AM81" s="20">
        <f t="shared" si="39"/>
        <v>178018</v>
      </c>
      <c r="AN81" s="20">
        <f t="shared" si="40"/>
        <v>0</v>
      </c>
      <c r="AO81" s="20">
        <f t="shared" si="41"/>
        <v>0</v>
      </c>
      <c r="AP81" s="20">
        <f t="shared" si="42"/>
        <v>0</v>
      </c>
      <c r="AQ81" s="20">
        <f t="shared" si="43"/>
        <v>356037</v>
      </c>
      <c r="AR81" s="20">
        <f t="shared" si="44"/>
        <v>0</v>
      </c>
      <c r="AS81" s="20">
        <f t="shared" si="45"/>
        <v>0</v>
      </c>
      <c r="AT81" s="20">
        <f t="shared" si="46"/>
        <v>296697</v>
      </c>
      <c r="AU81" s="20">
        <f t="shared" si="47"/>
        <v>356037</v>
      </c>
      <c r="AV81" s="20">
        <f t="shared" si="48"/>
        <v>0</v>
      </c>
      <c r="AW81" s="20">
        <f t="shared" si="49"/>
        <v>178018</v>
      </c>
      <c r="AX81" s="20">
        <f t="shared" si="50"/>
        <v>59339</v>
      </c>
      <c r="AY81" s="20">
        <f t="shared" si="51"/>
        <v>59339</v>
      </c>
      <c r="AZ81" s="20">
        <f t="shared" si="52"/>
        <v>0</v>
      </c>
      <c r="BA81" s="20">
        <f t="shared" si="53"/>
        <v>59339</v>
      </c>
      <c r="BB81" s="20">
        <f t="shared" si="54"/>
        <v>59339</v>
      </c>
      <c r="BC81" s="20">
        <f t="shared" si="55"/>
        <v>0</v>
      </c>
      <c r="BD81" s="20">
        <f t="shared" si="56"/>
        <v>0</v>
      </c>
      <c r="BE81" s="20">
        <f t="shared" si="57"/>
        <v>0</v>
      </c>
      <c r="BF81" s="20">
        <f t="shared" si="58"/>
        <v>0</v>
      </c>
      <c r="BG81" s="20">
        <f t="shared" si="59"/>
        <v>118679</v>
      </c>
      <c r="BH81" s="20">
        <f t="shared" si="60"/>
        <v>0</v>
      </c>
      <c r="BI81" s="20">
        <f t="shared" si="61"/>
        <v>29670</v>
      </c>
      <c r="BJ81" s="17" t="s">
        <v>927</v>
      </c>
      <c r="BK81" s="17" t="s">
        <v>583</v>
      </c>
      <c r="BL81" s="17" t="s">
        <v>584</v>
      </c>
      <c r="BM81" s="41">
        <f t="shared" si="62"/>
        <v>2403246</v>
      </c>
      <c r="BN81" s="37">
        <f t="shared" si="37"/>
        <v>2147675</v>
      </c>
    </row>
    <row r="82" spans="1:66" ht="33.75">
      <c r="A82" s="8" t="s">
        <v>583</v>
      </c>
      <c r="B82" s="17" t="s">
        <v>584</v>
      </c>
      <c r="C82" s="60">
        <v>177</v>
      </c>
      <c r="D82" s="18" t="s">
        <v>586</v>
      </c>
      <c r="E82" s="39">
        <v>1894.61</v>
      </c>
      <c r="F82" s="19">
        <f t="shared" si="63"/>
        <v>189.46100000000001</v>
      </c>
      <c r="G82" s="19">
        <f t="shared" si="64"/>
        <v>35.997590000000002</v>
      </c>
      <c r="H82" s="19">
        <f t="shared" si="65"/>
        <v>2120.0685899999999</v>
      </c>
      <c r="J82" s="8">
        <f t="shared" si="36"/>
        <v>30</v>
      </c>
      <c r="K82" s="5">
        <v>30</v>
      </c>
      <c r="L82" s="5"/>
      <c r="M82" s="5"/>
      <c r="N82" s="5"/>
      <c r="O82" s="5"/>
      <c r="P82" s="5"/>
      <c r="Q82" s="5"/>
      <c r="R82" s="5"/>
      <c r="S82" s="5"/>
      <c r="T82" s="5"/>
      <c r="U82" s="5"/>
      <c r="V82" s="5"/>
      <c r="W82" s="5"/>
      <c r="X82" s="5"/>
      <c r="Y82" s="5"/>
      <c r="Z82" s="5"/>
      <c r="AA82" s="5"/>
      <c r="AB82" s="5"/>
      <c r="AC82" s="5"/>
      <c r="AD82" s="5"/>
      <c r="AE82" s="5"/>
      <c r="AF82" s="5"/>
      <c r="AG82" s="5"/>
      <c r="AH82" s="5"/>
      <c r="AI82" s="5"/>
      <c r="AK82" s="20">
        <f t="shared" si="66"/>
        <v>63602</v>
      </c>
      <c r="AL82" s="20">
        <f t="shared" si="38"/>
        <v>0</v>
      </c>
      <c r="AM82" s="20">
        <f t="shared" si="39"/>
        <v>0</v>
      </c>
      <c r="AN82" s="20">
        <f t="shared" si="40"/>
        <v>0</v>
      </c>
      <c r="AO82" s="20">
        <f t="shared" si="41"/>
        <v>0</v>
      </c>
      <c r="AP82" s="20">
        <f t="shared" si="42"/>
        <v>0</v>
      </c>
      <c r="AQ82" s="20">
        <f t="shared" si="43"/>
        <v>0</v>
      </c>
      <c r="AR82" s="20">
        <f t="shared" si="44"/>
        <v>0</v>
      </c>
      <c r="AS82" s="20">
        <f t="shared" si="45"/>
        <v>0</v>
      </c>
      <c r="AT82" s="20">
        <f t="shared" si="46"/>
        <v>0</v>
      </c>
      <c r="AU82" s="20">
        <f t="shared" si="47"/>
        <v>0</v>
      </c>
      <c r="AV82" s="20">
        <f t="shared" si="48"/>
        <v>0</v>
      </c>
      <c r="AW82" s="20">
        <f t="shared" si="49"/>
        <v>0</v>
      </c>
      <c r="AX82" s="20">
        <f t="shared" si="50"/>
        <v>0</v>
      </c>
      <c r="AY82" s="20">
        <f t="shared" si="51"/>
        <v>0</v>
      </c>
      <c r="AZ82" s="20">
        <f t="shared" si="52"/>
        <v>0</v>
      </c>
      <c r="BA82" s="20">
        <f t="shared" si="53"/>
        <v>0</v>
      </c>
      <c r="BB82" s="20">
        <f t="shared" si="54"/>
        <v>0</v>
      </c>
      <c r="BC82" s="20">
        <f t="shared" si="55"/>
        <v>0</v>
      </c>
      <c r="BD82" s="20">
        <f t="shared" si="56"/>
        <v>0</v>
      </c>
      <c r="BE82" s="20">
        <f t="shared" si="57"/>
        <v>0</v>
      </c>
      <c r="BF82" s="20">
        <f t="shared" si="58"/>
        <v>0</v>
      </c>
      <c r="BG82" s="20">
        <f t="shared" si="59"/>
        <v>0</v>
      </c>
      <c r="BH82" s="20">
        <f t="shared" si="60"/>
        <v>0</v>
      </c>
      <c r="BI82" s="20">
        <f t="shared" si="61"/>
        <v>0</v>
      </c>
      <c r="BJ82" s="17" t="s">
        <v>927</v>
      </c>
      <c r="BK82" s="17" t="s">
        <v>583</v>
      </c>
      <c r="BL82" s="17" t="s">
        <v>584</v>
      </c>
      <c r="BM82" s="41">
        <f t="shared" si="62"/>
        <v>63602</v>
      </c>
      <c r="BN82" s="37">
        <f t="shared" si="37"/>
        <v>56838</v>
      </c>
    </row>
    <row r="83" spans="1:66" ht="56.25">
      <c r="A83" s="8" t="s">
        <v>587</v>
      </c>
      <c r="B83" s="21" t="s">
        <v>588</v>
      </c>
      <c r="C83" s="60">
        <v>184</v>
      </c>
      <c r="D83" s="18" t="s">
        <v>589</v>
      </c>
      <c r="E83" s="39">
        <v>1105.55</v>
      </c>
      <c r="F83" s="19">
        <f t="shared" si="63"/>
        <v>110.55500000000001</v>
      </c>
      <c r="G83" s="19">
        <f t="shared" si="64"/>
        <v>21.005450000000003</v>
      </c>
      <c r="H83" s="19">
        <f t="shared" si="65"/>
        <v>1237.1104500000001</v>
      </c>
      <c r="J83" s="8">
        <f t="shared" si="36"/>
        <v>1154</v>
      </c>
      <c r="K83" s="5">
        <v>700</v>
      </c>
      <c r="L83" s="5">
        <v>40</v>
      </c>
      <c r="M83" s="5">
        <v>10</v>
      </c>
      <c r="N83" s="5"/>
      <c r="O83" s="8">
        <v>36</v>
      </c>
      <c r="P83" s="5"/>
      <c r="Q83" s="5">
        <v>50</v>
      </c>
      <c r="R83" s="5">
        <v>30</v>
      </c>
      <c r="S83" s="5">
        <v>50</v>
      </c>
      <c r="T83" s="5">
        <v>30</v>
      </c>
      <c r="U83" s="5">
        <v>40</v>
      </c>
      <c r="V83" s="5">
        <v>15</v>
      </c>
      <c r="W83" s="5">
        <v>10</v>
      </c>
      <c r="X83" s="5">
        <v>8</v>
      </c>
      <c r="Y83" s="5">
        <v>10</v>
      </c>
      <c r="Z83" s="5">
        <v>30</v>
      </c>
      <c r="AA83" s="5">
        <v>20</v>
      </c>
      <c r="AB83" s="5">
        <v>40</v>
      </c>
      <c r="AC83" s="5"/>
      <c r="AD83" s="5"/>
      <c r="AE83" s="5"/>
      <c r="AF83" s="5"/>
      <c r="AG83" s="5"/>
      <c r="AH83" s="5">
        <v>15</v>
      </c>
      <c r="AI83" s="5">
        <v>20</v>
      </c>
      <c r="AK83" s="20">
        <f t="shared" si="66"/>
        <v>865977</v>
      </c>
      <c r="AL83" s="20">
        <f t="shared" si="38"/>
        <v>49484</v>
      </c>
      <c r="AM83" s="20">
        <f t="shared" si="39"/>
        <v>12371</v>
      </c>
      <c r="AN83" s="20">
        <f t="shared" si="40"/>
        <v>0</v>
      </c>
      <c r="AO83" s="20">
        <f t="shared" si="41"/>
        <v>44536</v>
      </c>
      <c r="AP83" s="20">
        <f t="shared" si="42"/>
        <v>0</v>
      </c>
      <c r="AQ83" s="20">
        <f t="shared" si="43"/>
        <v>61856</v>
      </c>
      <c r="AR83" s="20">
        <f t="shared" si="44"/>
        <v>37113</v>
      </c>
      <c r="AS83" s="20">
        <f t="shared" si="45"/>
        <v>61856</v>
      </c>
      <c r="AT83" s="20">
        <f t="shared" si="46"/>
        <v>37113</v>
      </c>
      <c r="AU83" s="20">
        <f t="shared" si="47"/>
        <v>49484</v>
      </c>
      <c r="AV83" s="20">
        <f t="shared" si="48"/>
        <v>18557</v>
      </c>
      <c r="AW83" s="20">
        <f t="shared" si="49"/>
        <v>12371</v>
      </c>
      <c r="AX83" s="20">
        <f t="shared" si="50"/>
        <v>9897</v>
      </c>
      <c r="AY83" s="20">
        <f t="shared" si="51"/>
        <v>12371</v>
      </c>
      <c r="AZ83" s="20">
        <f t="shared" si="52"/>
        <v>37113</v>
      </c>
      <c r="BA83" s="20">
        <f t="shared" si="53"/>
        <v>24742</v>
      </c>
      <c r="BB83" s="20">
        <f t="shared" si="54"/>
        <v>49484</v>
      </c>
      <c r="BC83" s="20">
        <f t="shared" si="55"/>
        <v>0</v>
      </c>
      <c r="BD83" s="20">
        <f t="shared" si="56"/>
        <v>0</v>
      </c>
      <c r="BE83" s="20">
        <f t="shared" si="57"/>
        <v>0</v>
      </c>
      <c r="BF83" s="20">
        <f t="shared" si="58"/>
        <v>0</v>
      </c>
      <c r="BG83" s="20">
        <f t="shared" si="59"/>
        <v>0</v>
      </c>
      <c r="BH83" s="20">
        <f t="shared" si="60"/>
        <v>18557</v>
      </c>
      <c r="BI83" s="20">
        <f t="shared" si="61"/>
        <v>24742</v>
      </c>
      <c r="BJ83" s="21" t="s">
        <v>928</v>
      </c>
      <c r="BK83" s="17" t="s">
        <v>587</v>
      </c>
      <c r="BL83" s="21" t="s">
        <v>588</v>
      </c>
      <c r="BM83" s="41">
        <f t="shared" si="62"/>
        <v>1427624</v>
      </c>
      <c r="BN83" s="37">
        <f t="shared" si="37"/>
        <v>1275805</v>
      </c>
    </row>
    <row r="84" spans="1:66" ht="33.75">
      <c r="A84" s="8" t="s">
        <v>590</v>
      </c>
      <c r="B84" s="21" t="s">
        <v>591</v>
      </c>
      <c r="C84" s="60">
        <v>188</v>
      </c>
      <c r="D84" s="18" t="s">
        <v>592</v>
      </c>
      <c r="E84" s="39">
        <v>3487.97</v>
      </c>
      <c r="F84" s="19">
        <f t="shared" si="63"/>
        <v>348.79700000000003</v>
      </c>
      <c r="G84" s="19">
        <f t="shared" si="64"/>
        <v>66.271430000000009</v>
      </c>
      <c r="H84" s="19">
        <f t="shared" si="65"/>
        <v>3903.0384299999996</v>
      </c>
      <c r="J84" s="8">
        <f t="shared" si="36"/>
        <v>0</v>
      </c>
      <c r="K84" s="5"/>
      <c r="L84" s="5"/>
      <c r="M84" s="5"/>
      <c r="N84" s="5"/>
      <c r="O84" s="5"/>
      <c r="P84" s="5"/>
      <c r="Q84" s="5"/>
      <c r="R84" s="5"/>
      <c r="S84" s="5"/>
      <c r="T84" s="5"/>
      <c r="U84" s="5"/>
      <c r="V84" s="5"/>
      <c r="W84" s="5"/>
      <c r="X84" s="5"/>
      <c r="Y84" s="5"/>
      <c r="Z84" s="5"/>
      <c r="AA84" s="5"/>
      <c r="AB84" s="5"/>
      <c r="AC84" s="5"/>
      <c r="AD84" s="5"/>
      <c r="AE84" s="5"/>
      <c r="AF84" s="5"/>
      <c r="AG84" s="5"/>
      <c r="AH84" s="5"/>
      <c r="AI84" s="5"/>
      <c r="AK84" s="20">
        <f t="shared" si="66"/>
        <v>0</v>
      </c>
      <c r="AL84" s="20">
        <f t="shared" si="38"/>
        <v>0</v>
      </c>
      <c r="AM84" s="20">
        <f t="shared" si="39"/>
        <v>0</v>
      </c>
      <c r="AN84" s="20">
        <f t="shared" si="40"/>
        <v>0</v>
      </c>
      <c r="AO84" s="20">
        <f t="shared" si="41"/>
        <v>0</v>
      </c>
      <c r="AP84" s="20">
        <f t="shared" si="42"/>
        <v>0</v>
      </c>
      <c r="AQ84" s="20">
        <f t="shared" si="43"/>
        <v>0</v>
      </c>
      <c r="AR84" s="20">
        <f t="shared" si="44"/>
        <v>0</v>
      </c>
      <c r="AS84" s="20">
        <f t="shared" si="45"/>
        <v>0</v>
      </c>
      <c r="AT84" s="20">
        <f t="shared" si="46"/>
        <v>0</v>
      </c>
      <c r="AU84" s="20">
        <f t="shared" si="47"/>
        <v>0</v>
      </c>
      <c r="AV84" s="20">
        <f t="shared" si="48"/>
        <v>0</v>
      </c>
      <c r="AW84" s="20">
        <f t="shared" si="49"/>
        <v>0</v>
      </c>
      <c r="AX84" s="20">
        <f t="shared" si="50"/>
        <v>0</v>
      </c>
      <c r="AY84" s="20">
        <f t="shared" si="51"/>
        <v>0</v>
      </c>
      <c r="AZ84" s="20">
        <f t="shared" si="52"/>
        <v>0</v>
      </c>
      <c r="BA84" s="20">
        <f t="shared" si="53"/>
        <v>0</v>
      </c>
      <c r="BB84" s="20">
        <f t="shared" si="54"/>
        <v>0</v>
      </c>
      <c r="BC84" s="20">
        <f t="shared" si="55"/>
        <v>0</v>
      </c>
      <c r="BD84" s="20">
        <f t="shared" si="56"/>
        <v>0</v>
      </c>
      <c r="BE84" s="20">
        <f t="shared" si="57"/>
        <v>0</v>
      </c>
      <c r="BF84" s="20">
        <f t="shared" si="58"/>
        <v>0</v>
      </c>
      <c r="BG84" s="20">
        <f t="shared" si="59"/>
        <v>0</v>
      </c>
      <c r="BH84" s="20">
        <f t="shared" si="60"/>
        <v>0</v>
      </c>
      <c r="BI84" s="20">
        <f t="shared" si="61"/>
        <v>0</v>
      </c>
      <c r="BJ84" s="21" t="s">
        <v>929</v>
      </c>
      <c r="BK84" s="17" t="s">
        <v>590</v>
      </c>
      <c r="BL84" s="21" t="s">
        <v>591</v>
      </c>
      <c r="BM84" s="41">
        <f t="shared" si="62"/>
        <v>0</v>
      </c>
      <c r="BN84" s="37">
        <f t="shared" si="37"/>
        <v>0</v>
      </c>
    </row>
    <row r="85" spans="1:66" ht="56.25">
      <c r="A85" s="8" t="s">
        <v>587</v>
      </c>
      <c r="B85" s="21" t="s">
        <v>588</v>
      </c>
      <c r="C85" s="60">
        <v>189</v>
      </c>
      <c r="D85" s="18" t="s">
        <v>593</v>
      </c>
      <c r="E85" s="39">
        <v>1570.8</v>
      </c>
      <c r="F85" s="19">
        <f t="shared" si="63"/>
        <v>157.08000000000001</v>
      </c>
      <c r="G85" s="19">
        <f t="shared" si="64"/>
        <v>29.845200000000002</v>
      </c>
      <c r="H85" s="19">
        <f t="shared" si="65"/>
        <v>1757.7251999999999</v>
      </c>
      <c r="J85" s="8">
        <f t="shared" si="36"/>
        <v>757</v>
      </c>
      <c r="K85" s="5">
        <v>400</v>
      </c>
      <c r="L85" s="5">
        <v>40</v>
      </c>
      <c r="M85" s="5">
        <v>25</v>
      </c>
      <c r="N85" s="5"/>
      <c r="O85" s="8"/>
      <c r="P85" s="5"/>
      <c r="Q85" s="5">
        <v>50</v>
      </c>
      <c r="R85" s="5">
        <v>12</v>
      </c>
      <c r="S85" s="5">
        <v>40</v>
      </c>
      <c r="T85" s="5">
        <v>20</v>
      </c>
      <c r="U85" s="5">
        <v>40</v>
      </c>
      <c r="V85" s="5"/>
      <c r="W85" s="5">
        <v>10</v>
      </c>
      <c r="X85" s="5">
        <v>10</v>
      </c>
      <c r="Y85" s="5">
        <v>5</v>
      </c>
      <c r="Z85" s="5">
        <v>30</v>
      </c>
      <c r="AA85" s="5">
        <v>10</v>
      </c>
      <c r="AB85" s="5">
        <v>10</v>
      </c>
      <c r="AC85" s="5"/>
      <c r="AD85" s="5">
        <v>40</v>
      </c>
      <c r="AE85" s="5"/>
      <c r="AF85" s="5"/>
      <c r="AG85" s="5">
        <v>10</v>
      </c>
      <c r="AH85" s="5">
        <v>5</v>
      </c>
      <c r="AI85" s="5"/>
      <c r="AK85" s="215">
        <f>+ROUND(K85*$H85,0)+10034</f>
        <v>713124</v>
      </c>
      <c r="AL85" s="20">
        <f t="shared" si="38"/>
        <v>70309</v>
      </c>
      <c r="AM85" s="20">
        <f t="shared" si="39"/>
        <v>43943</v>
      </c>
      <c r="AN85" s="20">
        <f t="shared" si="40"/>
        <v>0</v>
      </c>
      <c r="AO85" s="20">
        <f t="shared" si="41"/>
        <v>0</v>
      </c>
      <c r="AP85" s="20">
        <f t="shared" si="42"/>
        <v>0</v>
      </c>
      <c r="AQ85" s="20">
        <f t="shared" si="43"/>
        <v>87886</v>
      </c>
      <c r="AR85" s="20">
        <f t="shared" si="44"/>
        <v>21093</v>
      </c>
      <c r="AS85" s="20">
        <f t="shared" si="45"/>
        <v>70309</v>
      </c>
      <c r="AT85" s="20">
        <f t="shared" si="46"/>
        <v>35155</v>
      </c>
      <c r="AU85" s="20">
        <f t="shared" si="47"/>
        <v>70309</v>
      </c>
      <c r="AV85" s="20">
        <f t="shared" si="48"/>
        <v>0</v>
      </c>
      <c r="AW85" s="20">
        <f t="shared" si="49"/>
        <v>17577</v>
      </c>
      <c r="AX85" s="20">
        <f t="shared" si="50"/>
        <v>17577</v>
      </c>
      <c r="AY85" s="20">
        <f t="shared" si="51"/>
        <v>8789</v>
      </c>
      <c r="AZ85" s="20">
        <f t="shared" si="52"/>
        <v>52732</v>
      </c>
      <c r="BA85" s="20">
        <f t="shared" si="53"/>
        <v>17577</v>
      </c>
      <c r="BB85" s="20">
        <f t="shared" si="54"/>
        <v>17577</v>
      </c>
      <c r="BC85" s="20">
        <f t="shared" si="55"/>
        <v>0</v>
      </c>
      <c r="BD85" s="20">
        <f t="shared" si="56"/>
        <v>70309</v>
      </c>
      <c r="BE85" s="20">
        <f t="shared" si="57"/>
        <v>0</v>
      </c>
      <c r="BF85" s="20">
        <f t="shared" si="58"/>
        <v>0</v>
      </c>
      <c r="BG85" s="20">
        <f t="shared" si="59"/>
        <v>17577</v>
      </c>
      <c r="BH85" s="20">
        <f t="shared" si="60"/>
        <v>8789</v>
      </c>
      <c r="BI85" s="20">
        <f t="shared" si="61"/>
        <v>0</v>
      </c>
      <c r="BJ85" s="21" t="s">
        <v>928</v>
      </c>
      <c r="BK85" s="17" t="s">
        <v>587</v>
      </c>
      <c r="BL85" s="21" t="s">
        <v>588</v>
      </c>
      <c r="BM85" s="214">
        <f>+SUM(AK85:BI85)</f>
        <v>1340632</v>
      </c>
      <c r="BN85" s="37">
        <f t="shared" si="37"/>
        <v>1189096</v>
      </c>
    </row>
    <row r="86" spans="1:66" ht="45">
      <c r="A86" s="8" t="s">
        <v>594</v>
      </c>
      <c r="B86" s="17" t="s">
        <v>595</v>
      </c>
      <c r="C86" s="60">
        <v>193</v>
      </c>
      <c r="D86" s="18" t="s">
        <v>596</v>
      </c>
      <c r="E86" s="39">
        <v>8078.84</v>
      </c>
      <c r="F86" s="19">
        <f t="shared" si="63"/>
        <v>807.88400000000001</v>
      </c>
      <c r="G86" s="19">
        <f t="shared" si="64"/>
        <v>153.49796000000001</v>
      </c>
      <c r="H86" s="19">
        <f t="shared" si="65"/>
        <v>9040.2219600000008</v>
      </c>
      <c r="J86" s="8">
        <f t="shared" si="36"/>
        <v>187</v>
      </c>
      <c r="K86" s="5">
        <v>20</v>
      </c>
      <c r="L86" s="5">
        <v>10</v>
      </c>
      <c r="M86" s="5">
        <v>10</v>
      </c>
      <c r="N86" s="5"/>
      <c r="O86" s="8">
        <v>7</v>
      </c>
      <c r="P86" s="5">
        <v>10</v>
      </c>
      <c r="Q86" s="5"/>
      <c r="R86" s="5"/>
      <c r="S86" s="5">
        <v>9</v>
      </c>
      <c r="T86" s="5">
        <v>10</v>
      </c>
      <c r="U86" s="5">
        <v>10</v>
      </c>
      <c r="V86" s="5">
        <f>10+5</f>
        <v>15</v>
      </c>
      <c r="W86" s="5">
        <v>8</v>
      </c>
      <c r="X86" s="5">
        <v>6</v>
      </c>
      <c r="Y86" s="5">
        <v>6</v>
      </c>
      <c r="Z86" s="5">
        <v>10</v>
      </c>
      <c r="AA86" s="5">
        <v>6</v>
      </c>
      <c r="AB86" s="5">
        <v>8</v>
      </c>
      <c r="AC86" s="5"/>
      <c r="AD86" s="5">
        <v>10</v>
      </c>
      <c r="AE86" s="5">
        <v>8</v>
      </c>
      <c r="AF86" s="5">
        <v>6</v>
      </c>
      <c r="AG86" s="5">
        <v>4</v>
      </c>
      <c r="AH86" s="5">
        <v>4</v>
      </c>
      <c r="AI86" s="5">
        <v>10</v>
      </c>
      <c r="AK86" s="20">
        <f t="shared" si="66"/>
        <v>180804</v>
      </c>
      <c r="AL86" s="20">
        <f t="shared" si="38"/>
        <v>90402</v>
      </c>
      <c r="AM86" s="20">
        <f t="shared" si="39"/>
        <v>90402</v>
      </c>
      <c r="AN86" s="20">
        <f t="shared" si="40"/>
        <v>0</v>
      </c>
      <c r="AO86" s="20">
        <f t="shared" si="41"/>
        <v>63282</v>
      </c>
      <c r="AP86" s="20">
        <f t="shared" si="42"/>
        <v>90402</v>
      </c>
      <c r="AQ86" s="20">
        <f t="shared" si="43"/>
        <v>0</v>
      </c>
      <c r="AR86" s="20">
        <f t="shared" si="44"/>
        <v>0</v>
      </c>
      <c r="AS86" s="20">
        <f t="shared" si="45"/>
        <v>81362</v>
      </c>
      <c r="AT86" s="20">
        <f t="shared" si="46"/>
        <v>90402</v>
      </c>
      <c r="AU86" s="20">
        <f t="shared" si="47"/>
        <v>90402</v>
      </c>
      <c r="AV86" s="20">
        <f t="shared" si="48"/>
        <v>135603</v>
      </c>
      <c r="AW86" s="20">
        <f t="shared" si="49"/>
        <v>72322</v>
      </c>
      <c r="AX86" s="20">
        <f t="shared" si="50"/>
        <v>54241</v>
      </c>
      <c r="AY86" s="20">
        <f t="shared" si="51"/>
        <v>54241</v>
      </c>
      <c r="AZ86" s="20">
        <f t="shared" si="52"/>
        <v>90402</v>
      </c>
      <c r="BA86" s="20">
        <f t="shared" si="53"/>
        <v>54241</v>
      </c>
      <c r="BB86" s="20">
        <f t="shared" si="54"/>
        <v>72322</v>
      </c>
      <c r="BC86" s="20">
        <f t="shared" si="55"/>
        <v>0</v>
      </c>
      <c r="BD86" s="20">
        <f t="shared" si="56"/>
        <v>90402</v>
      </c>
      <c r="BE86" s="20">
        <f t="shared" si="57"/>
        <v>72322</v>
      </c>
      <c r="BF86" s="20">
        <f t="shared" si="58"/>
        <v>54241</v>
      </c>
      <c r="BG86" s="20">
        <f t="shared" si="59"/>
        <v>36161</v>
      </c>
      <c r="BH86" s="20">
        <f t="shared" si="60"/>
        <v>36161</v>
      </c>
      <c r="BI86" s="20">
        <f t="shared" si="61"/>
        <v>90402</v>
      </c>
      <c r="BJ86" s="17" t="s">
        <v>930</v>
      </c>
      <c r="BK86" s="17" t="s">
        <v>594</v>
      </c>
      <c r="BL86" s="17" t="s">
        <v>595</v>
      </c>
      <c r="BM86" s="41">
        <f t="shared" si="62"/>
        <v>1690519</v>
      </c>
      <c r="BN86" s="37">
        <f t="shared" si="37"/>
        <v>1510743</v>
      </c>
    </row>
    <row r="87" spans="1:66" ht="33.75">
      <c r="A87" s="8" t="s">
        <v>490</v>
      </c>
      <c r="B87" s="22" t="s">
        <v>491</v>
      </c>
      <c r="C87" s="60">
        <v>197</v>
      </c>
      <c r="D87" s="18" t="s">
        <v>597</v>
      </c>
      <c r="E87" s="39">
        <v>32621.89</v>
      </c>
      <c r="F87" s="19">
        <f t="shared" si="63"/>
        <v>3262.1890000000003</v>
      </c>
      <c r="G87" s="19">
        <f t="shared" si="64"/>
        <v>619.81591000000003</v>
      </c>
      <c r="H87" s="19">
        <f t="shared" si="65"/>
        <v>36503.894909999995</v>
      </c>
      <c r="J87" s="8">
        <f t="shared" si="36"/>
        <v>0</v>
      </c>
      <c r="K87" s="5"/>
      <c r="L87" s="5"/>
      <c r="M87" s="5"/>
      <c r="N87" s="5"/>
      <c r="O87" s="5"/>
      <c r="P87" s="5"/>
      <c r="Q87" s="5"/>
      <c r="R87" s="5"/>
      <c r="S87" s="5"/>
      <c r="T87" s="5"/>
      <c r="U87" s="5"/>
      <c r="V87" s="5"/>
      <c r="W87" s="5"/>
      <c r="X87" s="5"/>
      <c r="Y87" s="5"/>
      <c r="Z87" s="5"/>
      <c r="AA87" s="5"/>
      <c r="AB87" s="5"/>
      <c r="AC87" s="5"/>
      <c r="AD87" s="5"/>
      <c r="AE87" s="5"/>
      <c r="AF87" s="5"/>
      <c r="AG87" s="5"/>
      <c r="AH87" s="5"/>
      <c r="AI87" s="5"/>
      <c r="AK87" s="20">
        <f t="shared" si="66"/>
        <v>0</v>
      </c>
      <c r="AL87" s="20">
        <f t="shared" si="38"/>
        <v>0</v>
      </c>
      <c r="AM87" s="20">
        <f t="shared" si="39"/>
        <v>0</v>
      </c>
      <c r="AN87" s="20">
        <f t="shared" si="40"/>
        <v>0</v>
      </c>
      <c r="AO87" s="20">
        <f t="shared" si="41"/>
        <v>0</v>
      </c>
      <c r="AP87" s="20">
        <f t="shared" si="42"/>
        <v>0</v>
      </c>
      <c r="AQ87" s="20">
        <f t="shared" si="43"/>
        <v>0</v>
      </c>
      <c r="AR87" s="20">
        <f t="shared" si="44"/>
        <v>0</v>
      </c>
      <c r="AS87" s="20">
        <f t="shared" si="45"/>
        <v>0</v>
      </c>
      <c r="AT87" s="20">
        <f t="shared" si="46"/>
        <v>0</v>
      </c>
      <c r="AU87" s="20">
        <f t="shared" si="47"/>
        <v>0</v>
      </c>
      <c r="AV87" s="20">
        <f t="shared" si="48"/>
        <v>0</v>
      </c>
      <c r="AW87" s="20">
        <f t="shared" si="49"/>
        <v>0</v>
      </c>
      <c r="AX87" s="20">
        <f t="shared" si="50"/>
        <v>0</v>
      </c>
      <c r="AY87" s="20">
        <f t="shared" si="51"/>
        <v>0</v>
      </c>
      <c r="AZ87" s="20">
        <f t="shared" si="52"/>
        <v>0</v>
      </c>
      <c r="BA87" s="20">
        <f t="shared" si="53"/>
        <v>0</v>
      </c>
      <c r="BB87" s="20">
        <f t="shared" si="54"/>
        <v>0</v>
      </c>
      <c r="BC87" s="20">
        <f t="shared" si="55"/>
        <v>0</v>
      </c>
      <c r="BD87" s="20">
        <f t="shared" si="56"/>
        <v>0</v>
      </c>
      <c r="BE87" s="20">
        <f t="shared" si="57"/>
        <v>0</v>
      </c>
      <c r="BF87" s="20">
        <f t="shared" si="58"/>
        <v>0</v>
      </c>
      <c r="BG87" s="20">
        <f t="shared" si="59"/>
        <v>0</v>
      </c>
      <c r="BH87" s="20">
        <f t="shared" si="60"/>
        <v>0</v>
      </c>
      <c r="BI87" s="20">
        <f t="shared" si="61"/>
        <v>0</v>
      </c>
      <c r="BJ87" s="23" t="s">
        <v>912</v>
      </c>
      <c r="BK87" s="17" t="s">
        <v>490</v>
      </c>
      <c r="BL87" s="23" t="s">
        <v>491</v>
      </c>
      <c r="BM87" s="41">
        <f t="shared" si="62"/>
        <v>0</v>
      </c>
      <c r="BN87" s="37">
        <f t="shared" si="37"/>
        <v>0</v>
      </c>
    </row>
    <row r="88" spans="1:66" ht="33.75">
      <c r="A88" s="8" t="s">
        <v>490</v>
      </c>
      <c r="B88" s="22" t="s">
        <v>491</v>
      </c>
      <c r="C88" s="60">
        <v>198</v>
      </c>
      <c r="D88" s="18" t="s">
        <v>598</v>
      </c>
      <c r="E88" s="39">
        <v>27784.23</v>
      </c>
      <c r="F88" s="19">
        <f t="shared" si="63"/>
        <v>2778.4230000000002</v>
      </c>
      <c r="G88" s="19">
        <f t="shared" si="64"/>
        <v>527.90037000000007</v>
      </c>
      <c r="H88" s="19">
        <f t="shared" si="65"/>
        <v>31090.553369999998</v>
      </c>
      <c r="J88" s="8">
        <f t="shared" si="36"/>
        <v>0</v>
      </c>
      <c r="K88" s="5"/>
      <c r="L88" s="5"/>
      <c r="M88" s="5"/>
      <c r="N88" s="5"/>
      <c r="O88" s="8"/>
      <c r="P88" s="5"/>
      <c r="Q88" s="5"/>
      <c r="R88" s="5"/>
      <c r="S88" s="5"/>
      <c r="T88" s="5"/>
      <c r="U88" s="5"/>
      <c r="V88" s="5"/>
      <c r="W88" s="5"/>
      <c r="X88" s="5"/>
      <c r="Y88" s="5"/>
      <c r="Z88" s="5"/>
      <c r="AA88" s="5"/>
      <c r="AB88" s="5"/>
      <c r="AC88" s="5"/>
      <c r="AD88" s="5"/>
      <c r="AE88" s="5"/>
      <c r="AF88" s="5"/>
      <c r="AG88" s="5"/>
      <c r="AH88" s="5"/>
      <c r="AI88" s="5"/>
      <c r="AK88" s="20">
        <f t="shared" si="66"/>
        <v>0</v>
      </c>
      <c r="AL88" s="20">
        <f t="shared" si="38"/>
        <v>0</v>
      </c>
      <c r="AM88" s="20">
        <f t="shared" si="39"/>
        <v>0</v>
      </c>
      <c r="AN88" s="20">
        <f t="shared" si="40"/>
        <v>0</v>
      </c>
      <c r="AO88" s="20">
        <f t="shared" si="41"/>
        <v>0</v>
      </c>
      <c r="AP88" s="20">
        <f t="shared" si="42"/>
        <v>0</v>
      </c>
      <c r="AQ88" s="20">
        <f t="shared" si="43"/>
        <v>0</v>
      </c>
      <c r="AR88" s="20">
        <f t="shared" si="44"/>
        <v>0</v>
      </c>
      <c r="AS88" s="20">
        <f t="shared" si="45"/>
        <v>0</v>
      </c>
      <c r="AT88" s="20">
        <f t="shared" si="46"/>
        <v>0</v>
      </c>
      <c r="AU88" s="20">
        <f t="shared" si="47"/>
        <v>0</v>
      </c>
      <c r="AV88" s="20">
        <f t="shared" si="48"/>
        <v>0</v>
      </c>
      <c r="AW88" s="20">
        <f t="shared" si="49"/>
        <v>0</v>
      </c>
      <c r="AX88" s="20">
        <f t="shared" si="50"/>
        <v>0</v>
      </c>
      <c r="AY88" s="20">
        <f t="shared" si="51"/>
        <v>0</v>
      </c>
      <c r="AZ88" s="20">
        <f t="shared" si="52"/>
        <v>0</v>
      </c>
      <c r="BA88" s="20">
        <f t="shared" si="53"/>
        <v>0</v>
      </c>
      <c r="BB88" s="20">
        <f t="shared" si="54"/>
        <v>0</v>
      </c>
      <c r="BC88" s="20">
        <f t="shared" si="55"/>
        <v>0</v>
      </c>
      <c r="BD88" s="20">
        <f t="shared" si="56"/>
        <v>0</v>
      </c>
      <c r="BE88" s="20">
        <f t="shared" si="57"/>
        <v>0</v>
      </c>
      <c r="BF88" s="20">
        <f t="shared" si="58"/>
        <v>0</v>
      </c>
      <c r="BG88" s="20">
        <f t="shared" si="59"/>
        <v>0</v>
      </c>
      <c r="BH88" s="20">
        <f t="shared" si="60"/>
        <v>0</v>
      </c>
      <c r="BI88" s="20">
        <f t="shared" si="61"/>
        <v>0</v>
      </c>
      <c r="BJ88" s="23" t="s">
        <v>912</v>
      </c>
      <c r="BK88" s="17" t="s">
        <v>490</v>
      </c>
      <c r="BL88" s="23" t="s">
        <v>491</v>
      </c>
      <c r="BM88" s="41">
        <f t="shared" si="62"/>
        <v>0</v>
      </c>
      <c r="BN88" s="37">
        <f t="shared" si="37"/>
        <v>0</v>
      </c>
    </row>
    <row r="89" spans="1:66" ht="33.75">
      <c r="A89" s="8" t="s">
        <v>490</v>
      </c>
      <c r="B89" s="22" t="s">
        <v>491</v>
      </c>
      <c r="C89" s="60">
        <v>199</v>
      </c>
      <c r="D89" s="18" t="s">
        <v>599</v>
      </c>
      <c r="E89" s="39">
        <v>14544.87</v>
      </c>
      <c r="F89" s="19">
        <f t="shared" si="63"/>
        <v>1454.4870000000001</v>
      </c>
      <c r="G89" s="19">
        <f t="shared" si="64"/>
        <v>276.35253</v>
      </c>
      <c r="H89" s="19">
        <f t="shared" si="65"/>
        <v>16275.70953</v>
      </c>
      <c r="J89" s="8">
        <f t="shared" si="36"/>
        <v>0</v>
      </c>
      <c r="K89" s="5"/>
      <c r="L89" s="5"/>
      <c r="M89" s="5"/>
      <c r="N89" s="5"/>
      <c r="O89" s="5"/>
      <c r="P89" s="5"/>
      <c r="Q89" s="5"/>
      <c r="R89" s="5"/>
      <c r="S89" s="5"/>
      <c r="T89" s="5"/>
      <c r="U89" s="5"/>
      <c r="V89" s="5"/>
      <c r="W89" s="5"/>
      <c r="X89" s="5"/>
      <c r="Y89" s="5"/>
      <c r="Z89" s="5"/>
      <c r="AA89" s="5"/>
      <c r="AB89" s="5"/>
      <c r="AC89" s="5"/>
      <c r="AD89" s="5"/>
      <c r="AE89" s="5"/>
      <c r="AF89" s="5"/>
      <c r="AG89" s="5"/>
      <c r="AH89" s="5"/>
      <c r="AI89" s="5"/>
      <c r="AK89" s="20">
        <f t="shared" si="66"/>
        <v>0</v>
      </c>
      <c r="AL89" s="20">
        <f t="shared" si="38"/>
        <v>0</v>
      </c>
      <c r="AM89" s="20">
        <f t="shared" si="39"/>
        <v>0</v>
      </c>
      <c r="AN89" s="20">
        <f t="shared" si="40"/>
        <v>0</v>
      </c>
      <c r="AO89" s="20">
        <f t="shared" si="41"/>
        <v>0</v>
      </c>
      <c r="AP89" s="20">
        <f t="shared" si="42"/>
        <v>0</v>
      </c>
      <c r="AQ89" s="20">
        <f t="shared" si="43"/>
        <v>0</v>
      </c>
      <c r="AR89" s="20">
        <f t="shared" si="44"/>
        <v>0</v>
      </c>
      <c r="AS89" s="20">
        <f t="shared" si="45"/>
        <v>0</v>
      </c>
      <c r="AT89" s="20">
        <f t="shared" si="46"/>
        <v>0</v>
      </c>
      <c r="AU89" s="20">
        <f t="shared" si="47"/>
        <v>0</v>
      </c>
      <c r="AV89" s="20">
        <f t="shared" si="48"/>
        <v>0</v>
      </c>
      <c r="AW89" s="20">
        <f t="shared" si="49"/>
        <v>0</v>
      </c>
      <c r="AX89" s="20">
        <f t="shared" si="50"/>
        <v>0</v>
      </c>
      <c r="AY89" s="20">
        <f t="shared" si="51"/>
        <v>0</v>
      </c>
      <c r="AZ89" s="20">
        <f t="shared" si="52"/>
        <v>0</v>
      </c>
      <c r="BA89" s="20">
        <f t="shared" si="53"/>
        <v>0</v>
      </c>
      <c r="BB89" s="20">
        <f t="shared" si="54"/>
        <v>0</v>
      </c>
      <c r="BC89" s="20">
        <f t="shared" si="55"/>
        <v>0</v>
      </c>
      <c r="BD89" s="20">
        <f t="shared" si="56"/>
        <v>0</v>
      </c>
      <c r="BE89" s="20">
        <f t="shared" si="57"/>
        <v>0</v>
      </c>
      <c r="BF89" s="20">
        <f t="shared" si="58"/>
        <v>0</v>
      </c>
      <c r="BG89" s="20">
        <f t="shared" si="59"/>
        <v>0</v>
      </c>
      <c r="BH89" s="20">
        <f t="shared" si="60"/>
        <v>0</v>
      </c>
      <c r="BI89" s="20">
        <f t="shared" si="61"/>
        <v>0</v>
      </c>
      <c r="BJ89" s="23" t="s">
        <v>912</v>
      </c>
      <c r="BK89" s="17" t="s">
        <v>490</v>
      </c>
      <c r="BL89" s="23" t="s">
        <v>491</v>
      </c>
      <c r="BM89" s="41">
        <f t="shared" si="62"/>
        <v>0</v>
      </c>
      <c r="BN89" s="37">
        <f t="shared" si="37"/>
        <v>0</v>
      </c>
    </row>
    <row r="90" spans="1:66" ht="33.75">
      <c r="A90" s="8" t="s">
        <v>490</v>
      </c>
      <c r="B90" s="22" t="s">
        <v>491</v>
      </c>
      <c r="C90" s="60">
        <v>200</v>
      </c>
      <c r="D90" s="18" t="s">
        <v>600</v>
      </c>
      <c r="E90" s="39">
        <v>13897.93</v>
      </c>
      <c r="F90" s="19">
        <f t="shared" si="63"/>
        <v>1389.7930000000001</v>
      </c>
      <c r="G90" s="19">
        <f t="shared" si="64"/>
        <v>264.06067000000002</v>
      </c>
      <c r="H90" s="19">
        <f t="shared" si="65"/>
        <v>15551.783670000001</v>
      </c>
      <c r="J90" s="8">
        <f t="shared" si="36"/>
        <v>0</v>
      </c>
      <c r="K90" s="5"/>
      <c r="L90" s="5"/>
      <c r="M90" s="5"/>
      <c r="N90" s="5"/>
      <c r="O90" s="5"/>
      <c r="P90" s="5"/>
      <c r="Q90" s="5"/>
      <c r="R90" s="5"/>
      <c r="S90" s="5"/>
      <c r="T90" s="5"/>
      <c r="U90" s="5"/>
      <c r="V90" s="5"/>
      <c r="W90" s="5"/>
      <c r="X90" s="5"/>
      <c r="Y90" s="5"/>
      <c r="Z90" s="5"/>
      <c r="AA90" s="5"/>
      <c r="AB90" s="5"/>
      <c r="AC90" s="5"/>
      <c r="AD90" s="5"/>
      <c r="AE90" s="5"/>
      <c r="AF90" s="5"/>
      <c r="AG90" s="5"/>
      <c r="AH90" s="5"/>
      <c r="AI90" s="5"/>
      <c r="AK90" s="20">
        <f t="shared" si="66"/>
        <v>0</v>
      </c>
      <c r="AL90" s="20">
        <f t="shared" si="38"/>
        <v>0</v>
      </c>
      <c r="AM90" s="20">
        <f t="shared" si="39"/>
        <v>0</v>
      </c>
      <c r="AN90" s="20">
        <f t="shared" si="40"/>
        <v>0</v>
      </c>
      <c r="AO90" s="20">
        <f t="shared" si="41"/>
        <v>0</v>
      </c>
      <c r="AP90" s="20">
        <f t="shared" si="42"/>
        <v>0</v>
      </c>
      <c r="AQ90" s="20">
        <f t="shared" si="43"/>
        <v>0</v>
      </c>
      <c r="AR90" s="20">
        <f t="shared" si="44"/>
        <v>0</v>
      </c>
      <c r="AS90" s="20">
        <f t="shared" si="45"/>
        <v>0</v>
      </c>
      <c r="AT90" s="20">
        <f t="shared" si="46"/>
        <v>0</v>
      </c>
      <c r="AU90" s="20">
        <f t="shared" si="47"/>
        <v>0</v>
      </c>
      <c r="AV90" s="20">
        <f t="shared" si="48"/>
        <v>0</v>
      </c>
      <c r="AW90" s="20">
        <f t="shared" si="49"/>
        <v>0</v>
      </c>
      <c r="AX90" s="20">
        <f t="shared" si="50"/>
        <v>0</v>
      </c>
      <c r="AY90" s="20">
        <f t="shared" si="51"/>
        <v>0</v>
      </c>
      <c r="AZ90" s="20">
        <f t="shared" si="52"/>
        <v>0</v>
      </c>
      <c r="BA90" s="20">
        <f t="shared" si="53"/>
        <v>0</v>
      </c>
      <c r="BB90" s="20">
        <f t="shared" si="54"/>
        <v>0</v>
      </c>
      <c r="BC90" s="20">
        <f t="shared" si="55"/>
        <v>0</v>
      </c>
      <c r="BD90" s="20">
        <f t="shared" si="56"/>
        <v>0</v>
      </c>
      <c r="BE90" s="20">
        <f t="shared" si="57"/>
        <v>0</v>
      </c>
      <c r="BF90" s="20">
        <f t="shared" si="58"/>
        <v>0</v>
      </c>
      <c r="BG90" s="20">
        <f t="shared" si="59"/>
        <v>0</v>
      </c>
      <c r="BH90" s="20">
        <f t="shared" si="60"/>
        <v>0</v>
      </c>
      <c r="BI90" s="20">
        <f t="shared" si="61"/>
        <v>0</v>
      </c>
      <c r="BJ90" s="23" t="s">
        <v>912</v>
      </c>
      <c r="BK90" s="17" t="s">
        <v>490</v>
      </c>
      <c r="BL90" s="23" t="s">
        <v>491</v>
      </c>
      <c r="BM90" s="41">
        <f t="shared" si="62"/>
        <v>0</v>
      </c>
      <c r="BN90" s="37">
        <f t="shared" si="37"/>
        <v>0</v>
      </c>
    </row>
    <row r="91" spans="1:66" ht="56.25">
      <c r="A91" s="27" t="s">
        <v>535</v>
      </c>
      <c r="B91" s="28" t="s">
        <v>536</v>
      </c>
      <c r="C91" s="60">
        <v>201</v>
      </c>
      <c r="D91" s="29" t="s">
        <v>601</v>
      </c>
      <c r="E91" s="39">
        <v>1902.9</v>
      </c>
      <c r="F91" s="19">
        <f t="shared" si="63"/>
        <v>190.29000000000002</v>
      </c>
      <c r="G91" s="19">
        <f t="shared" si="64"/>
        <v>36.155100000000004</v>
      </c>
      <c r="H91" s="19">
        <f t="shared" si="65"/>
        <v>2129.3451</v>
      </c>
      <c r="J91" s="8">
        <f t="shared" si="36"/>
        <v>0</v>
      </c>
      <c r="K91" s="5"/>
      <c r="L91" s="5"/>
      <c r="M91" s="5"/>
      <c r="N91" s="5"/>
      <c r="O91" s="5"/>
      <c r="P91" s="5"/>
      <c r="Q91" s="5"/>
      <c r="R91" s="5"/>
      <c r="S91" s="5"/>
      <c r="T91" s="5"/>
      <c r="U91" s="5"/>
      <c r="V91" s="5"/>
      <c r="W91" s="5"/>
      <c r="X91" s="5"/>
      <c r="Y91" s="5"/>
      <c r="Z91" s="5"/>
      <c r="AA91" s="5"/>
      <c r="AB91" s="5"/>
      <c r="AC91" s="5"/>
      <c r="AD91" s="5"/>
      <c r="AE91" s="5"/>
      <c r="AF91" s="5"/>
      <c r="AG91" s="5"/>
      <c r="AH91" s="5"/>
      <c r="AI91" s="5"/>
      <c r="AK91" s="20">
        <f t="shared" si="66"/>
        <v>0</v>
      </c>
      <c r="AL91" s="20">
        <f t="shared" si="38"/>
        <v>0</v>
      </c>
      <c r="AM91" s="20">
        <f t="shared" si="39"/>
        <v>0</v>
      </c>
      <c r="AN91" s="20">
        <f t="shared" si="40"/>
        <v>0</v>
      </c>
      <c r="AO91" s="20">
        <f t="shared" si="41"/>
        <v>0</v>
      </c>
      <c r="AP91" s="20">
        <f t="shared" si="42"/>
        <v>0</v>
      </c>
      <c r="AQ91" s="20">
        <f t="shared" si="43"/>
        <v>0</v>
      </c>
      <c r="AR91" s="20">
        <f t="shared" si="44"/>
        <v>0</v>
      </c>
      <c r="AS91" s="20">
        <f t="shared" si="45"/>
        <v>0</v>
      </c>
      <c r="AT91" s="20">
        <f t="shared" si="46"/>
        <v>0</v>
      </c>
      <c r="AU91" s="20">
        <f t="shared" si="47"/>
        <v>0</v>
      </c>
      <c r="AV91" s="20">
        <f t="shared" si="48"/>
        <v>0</v>
      </c>
      <c r="AW91" s="20">
        <f t="shared" si="49"/>
        <v>0</v>
      </c>
      <c r="AX91" s="20">
        <f t="shared" si="50"/>
        <v>0</v>
      </c>
      <c r="AY91" s="20">
        <f t="shared" si="51"/>
        <v>0</v>
      </c>
      <c r="AZ91" s="20">
        <f t="shared" si="52"/>
        <v>0</v>
      </c>
      <c r="BA91" s="20">
        <f t="shared" si="53"/>
        <v>0</v>
      </c>
      <c r="BB91" s="20">
        <f t="shared" si="54"/>
        <v>0</v>
      </c>
      <c r="BC91" s="20">
        <f t="shared" si="55"/>
        <v>0</v>
      </c>
      <c r="BD91" s="20">
        <f t="shared" si="56"/>
        <v>0</v>
      </c>
      <c r="BE91" s="20">
        <f t="shared" si="57"/>
        <v>0</v>
      </c>
      <c r="BF91" s="20">
        <f t="shared" si="58"/>
        <v>0</v>
      </c>
      <c r="BG91" s="20">
        <f t="shared" si="59"/>
        <v>0</v>
      </c>
      <c r="BH91" s="20">
        <f t="shared" si="60"/>
        <v>0</v>
      </c>
      <c r="BI91" s="20">
        <f t="shared" si="61"/>
        <v>0</v>
      </c>
      <c r="BJ91" s="28" t="s">
        <v>917</v>
      </c>
      <c r="BK91" s="30" t="s">
        <v>535</v>
      </c>
      <c r="BL91" s="28" t="s">
        <v>536</v>
      </c>
      <c r="BM91" s="41">
        <f t="shared" si="62"/>
        <v>0</v>
      </c>
      <c r="BN91" s="37">
        <f t="shared" si="37"/>
        <v>0</v>
      </c>
    </row>
    <row r="92" spans="1:66" ht="56.25">
      <c r="A92" s="8" t="s">
        <v>602</v>
      </c>
      <c r="B92" s="21" t="s">
        <v>603</v>
      </c>
      <c r="C92" s="60">
        <v>205</v>
      </c>
      <c r="D92" s="29" t="s">
        <v>604</v>
      </c>
      <c r="E92" s="39">
        <v>1860.58</v>
      </c>
      <c r="F92" s="19">
        <f t="shared" si="63"/>
        <v>186.05799999999999</v>
      </c>
      <c r="G92" s="19">
        <f t="shared" si="64"/>
        <v>35.351019999999998</v>
      </c>
      <c r="H92" s="19">
        <f t="shared" si="65"/>
        <v>2081.98902</v>
      </c>
      <c r="J92" s="8">
        <f t="shared" si="36"/>
        <v>6</v>
      </c>
      <c r="K92" s="123">
        <v>5</v>
      </c>
      <c r="L92" s="123"/>
      <c r="M92" s="123"/>
      <c r="N92" s="123"/>
      <c r="O92" s="123">
        <v>1</v>
      </c>
      <c r="P92" s="123"/>
      <c r="Q92" s="123"/>
      <c r="R92" s="123"/>
      <c r="S92" s="123"/>
      <c r="T92" s="123"/>
      <c r="U92" s="123"/>
      <c r="V92" s="105"/>
      <c r="W92" s="123"/>
      <c r="X92" s="123"/>
      <c r="Y92" s="123"/>
      <c r="Z92" s="123"/>
      <c r="AA92" s="123"/>
      <c r="AB92" s="105"/>
      <c r="AC92" s="123"/>
      <c r="AD92" s="123"/>
      <c r="AE92" s="123"/>
      <c r="AF92" s="123"/>
      <c r="AG92" s="123"/>
      <c r="AH92" s="123"/>
      <c r="AI92" s="123"/>
      <c r="AK92" s="20">
        <f t="shared" si="66"/>
        <v>10410</v>
      </c>
      <c r="AL92" s="20">
        <f t="shared" si="38"/>
        <v>0</v>
      </c>
      <c r="AM92" s="20">
        <f t="shared" si="39"/>
        <v>0</v>
      </c>
      <c r="AN92" s="20">
        <f t="shared" si="40"/>
        <v>0</v>
      </c>
      <c r="AO92" s="20">
        <f t="shared" si="41"/>
        <v>2082</v>
      </c>
      <c r="AP92" s="20">
        <f t="shared" si="42"/>
        <v>0</v>
      </c>
      <c r="AQ92" s="20">
        <f t="shared" si="43"/>
        <v>0</v>
      </c>
      <c r="AR92" s="20">
        <f t="shared" si="44"/>
        <v>0</v>
      </c>
      <c r="AS92" s="20">
        <f t="shared" si="45"/>
        <v>0</v>
      </c>
      <c r="AT92" s="20">
        <f t="shared" si="46"/>
        <v>0</v>
      </c>
      <c r="AU92" s="20">
        <f t="shared" si="47"/>
        <v>0</v>
      </c>
      <c r="AV92" s="20">
        <f t="shared" si="48"/>
        <v>0</v>
      </c>
      <c r="AW92" s="20">
        <f t="shared" si="49"/>
        <v>0</v>
      </c>
      <c r="AX92" s="20">
        <f t="shared" si="50"/>
        <v>0</v>
      </c>
      <c r="AY92" s="20">
        <f t="shared" si="51"/>
        <v>0</v>
      </c>
      <c r="AZ92" s="20">
        <f t="shared" si="52"/>
        <v>0</v>
      </c>
      <c r="BA92" s="20">
        <f t="shared" si="53"/>
        <v>0</v>
      </c>
      <c r="BB92" s="20">
        <f t="shared" si="54"/>
        <v>0</v>
      </c>
      <c r="BC92" s="20">
        <f t="shared" si="55"/>
        <v>0</v>
      </c>
      <c r="BD92" s="20">
        <f t="shared" si="56"/>
        <v>0</v>
      </c>
      <c r="BE92" s="20">
        <f t="shared" si="57"/>
        <v>0</v>
      </c>
      <c r="BF92" s="20">
        <f t="shared" si="58"/>
        <v>0</v>
      </c>
      <c r="BG92" s="20">
        <f t="shared" si="59"/>
        <v>0</v>
      </c>
      <c r="BH92" s="20">
        <f t="shared" si="60"/>
        <v>0</v>
      </c>
      <c r="BI92" s="20">
        <f t="shared" si="61"/>
        <v>0</v>
      </c>
      <c r="BJ92" s="21" t="s">
        <v>931</v>
      </c>
      <c r="BK92" s="17" t="s">
        <v>602</v>
      </c>
      <c r="BL92" s="21" t="s">
        <v>603</v>
      </c>
      <c r="BM92" s="41">
        <f t="shared" si="62"/>
        <v>12492</v>
      </c>
      <c r="BN92" s="37">
        <f t="shared" si="37"/>
        <v>11163</v>
      </c>
    </row>
    <row r="93" spans="1:66" ht="90">
      <c r="A93" s="8" t="s">
        <v>605</v>
      </c>
      <c r="B93" s="21" t="s">
        <v>606</v>
      </c>
      <c r="C93" s="60">
        <v>207</v>
      </c>
      <c r="D93" s="29" t="s">
        <v>607</v>
      </c>
      <c r="E93" s="39">
        <v>1238.17</v>
      </c>
      <c r="F93" s="19">
        <f t="shared" si="63"/>
        <v>123.81700000000001</v>
      </c>
      <c r="G93" s="19">
        <f t="shared" si="64"/>
        <v>23.525230000000001</v>
      </c>
      <c r="H93" s="19">
        <f t="shared" si="65"/>
        <v>1385.51223</v>
      </c>
      <c r="J93" s="8">
        <f t="shared" si="36"/>
        <v>32</v>
      </c>
      <c r="K93" s="5">
        <v>20</v>
      </c>
      <c r="L93" s="5">
        <v>2</v>
      </c>
      <c r="M93" s="5">
        <v>2</v>
      </c>
      <c r="N93" s="5"/>
      <c r="O93" s="8"/>
      <c r="P93" s="5"/>
      <c r="Q93" s="5"/>
      <c r="R93" s="5"/>
      <c r="S93" s="5"/>
      <c r="T93" s="5">
        <v>2</v>
      </c>
      <c r="U93" s="5"/>
      <c r="V93" s="5"/>
      <c r="W93" s="5"/>
      <c r="X93" s="5"/>
      <c r="Y93" s="5">
        <v>2</v>
      </c>
      <c r="Z93" s="5"/>
      <c r="AA93" s="5"/>
      <c r="AB93" s="5"/>
      <c r="AC93" s="5"/>
      <c r="AD93" s="5">
        <v>4</v>
      </c>
      <c r="AE93" s="5"/>
      <c r="AF93" s="5"/>
      <c r="AG93" s="5"/>
      <c r="AH93" s="5"/>
      <c r="AI93" s="5"/>
      <c r="AK93" s="20">
        <f t="shared" si="66"/>
        <v>27710</v>
      </c>
      <c r="AL93" s="20">
        <f t="shared" si="38"/>
        <v>2771</v>
      </c>
      <c r="AM93" s="20">
        <f t="shared" si="39"/>
        <v>2771</v>
      </c>
      <c r="AN93" s="20">
        <f t="shared" si="40"/>
        <v>0</v>
      </c>
      <c r="AO93" s="20">
        <f t="shared" si="41"/>
        <v>0</v>
      </c>
      <c r="AP93" s="20">
        <f t="shared" si="42"/>
        <v>0</v>
      </c>
      <c r="AQ93" s="20">
        <f t="shared" si="43"/>
        <v>0</v>
      </c>
      <c r="AR93" s="20">
        <f t="shared" si="44"/>
        <v>0</v>
      </c>
      <c r="AS93" s="20">
        <f t="shared" si="45"/>
        <v>0</v>
      </c>
      <c r="AT93" s="20">
        <f t="shared" si="46"/>
        <v>2771</v>
      </c>
      <c r="AU93" s="20">
        <f t="shared" si="47"/>
        <v>0</v>
      </c>
      <c r="AV93" s="20">
        <f t="shared" si="48"/>
        <v>0</v>
      </c>
      <c r="AW93" s="20">
        <f t="shared" si="49"/>
        <v>0</v>
      </c>
      <c r="AX93" s="20">
        <f t="shared" si="50"/>
        <v>0</v>
      </c>
      <c r="AY93" s="20">
        <f t="shared" si="51"/>
        <v>2771</v>
      </c>
      <c r="AZ93" s="20">
        <f t="shared" si="52"/>
        <v>0</v>
      </c>
      <c r="BA93" s="20">
        <f t="shared" si="53"/>
        <v>0</v>
      </c>
      <c r="BB93" s="20">
        <f t="shared" si="54"/>
        <v>0</v>
      </c>
      <c r="BC93" s="20">
        <f t="shared" si="55"/>
        <v>0</v>
      </c>
      <c r="BD93" s="20">
        <f t="shared" si="56"/>
        <v>5542</v>
      </c>
      <c r="BE93" s="20">
        <f t="shared" si="57"/>
        <v>0</v>
      </c>
      <c r="BF93" s="20">
        <f t="shared" si="58"/>
        <v>0</v>
      </c>
      <c r="BG93" s="20">
        <f t="shared" si="59"/>
        <v>0</v>
      </c>
      <c r="BH93" s="20">
        <f t="shared" si="60"/>
        <v>0</v>
      </c>
      <c r="BI93" s="20">
        <f t="shared" si="61"/>
        <v>0</v>
      </c>
      <c r="BJ93" s="21" t="s">
        <v>932</v>
      </c>
      <c r="BK93" s="17" t="s">
        <v>605</v>
      </c>
      <c r="BL93" s="21" t="s">
        <v>606</v>
      </c>
      <c r="BM93" s="41">
        <f t="shared" si="62"/>
        <v>44336</v>
      </c>
      <c r="BN93" s="37">
        <f t="shared" si="37"/>
        <v>39621</v>
      </c>
    </row>
    <row r="94" spans="1:66" ht="33.75">
      <c r="A94" s="8" t="s">
        <v>608</v>
      </c>
      <c r="B94" s="21" t="s">
        <v>609</v>
      </c>
      <c r="C94" s="60">
        <v>211</v>
      </c>
      <c r="D94" s="29" t="s">
        <v>610</v>
      </c>
      <c r="E94" s="39">
        <v>1396.68</v>
      </c>
      <c r="F94" s="19">
        <f t="shared" si="63"/>
        <v>139.66800000000001</v>
      </c>
      <c r="G94" s="19">
        <f t="shared" si="64"/>
        <v>26.536920000000002</v>
      </c>
      <c r="H94" s="19">
        <f t="shared" si="65"/>
        <v>1562.88492</v>
      </c>
      <c r="J94" s="8">
        <f t="shared" si="36"/>
        <v>0</v>
      </c>
      <c r="K94" s="5"/>
      <c r="L94" s="5"/>
      <c r="M94" s="5"/>
      <c r="N94" s="5"/>
      <c r="O94" s="5"/>
      <c r="P94" s="5"/>
      <c r="Q94" s="5"/>
      <c r="R94" s="5"/>
      <c r="S94" s="5"/>
      <c r="T94" s="5"/>
      <c r="U94" s="5"/>
      <c r="V94" s="5"/>
      <c r="W94" s="5"/>
      <c r="X94" s="5"/>
      <c r="Y94" s="5"/>
      <c r="Z94" s="5"/>
      <c r="AA94" s="5"/>
      <c r="AB94" s="5"/>
      <c r="AC94" s="5"/>
      <c r="AD94" s="5"/>
      <c r="AE94" s="5"/>
      <c r="AF94" s="5"/>
      <c r="AG94" s="5"/>
      <c r="AH94" s="5"/>
      <c r="AI94" s="5"/>
      <c r="AK94" s="20">
        <f t="shared" si="66"/>
        <v>0</v>
      </c>
      <c r="AL94" s="20">
        <f t="shared" si="38"/>
        <v>0</v>
      </c>
      <c r="AM94" s="20">
        <f t="shared" si="39"/>
        <v>0</v>
      </c>
      <c r="AN94" s="20">
        <f t="shared" si="40"/>
        <v>0</v>
      </c>
      <c r="AO94" s="20">
        <f t="shared" si="41"/>
        <v>0</v>
      </c>
      <c r="AP94" s="20">
        <f t="shared" si="42"/>
        <v>0</v>
      </c>
      <c r="AQ94" s="20">
        <f t="shared" si="43"/>
        <v>0</v>
      </c>
      <c r="AR94" s="20">
        <f t="shared" si="44"/>
        <v>0</v>
      </c>
      <c r="AS94" s="20">
        <f t="shared" si="45"/>
        <v>0</v>
      </c>
      <c r="AT94" s="20">
        <f t="shared" si="46"/>
        <v>0</v>
      </c>
      <c r="AU94" s="20">
        <f t="shared" si="47"/>
        <v>0</v>
      </c>
      <c r="AV94" s="20">
        <f t="shared" si="48"/>
        <v>0</v>
      </c>
      <c r="AW94" s="20">
        <f t="shared" si="49"/>
        <v>0</v>
      </c>
      <c r="AX94" s="20">
        <f t="shared" si="50"/>
        <v>0</v>
      </c>
      <c r="AY94" s="20">
        <f t="shared" si="51"/>
        <v>0</v>
      </c>
      <c r="AZ94" s="20">
        <f t="shared" si="52"/>
        <v>0</v>
      </c>
      <c r="BA94" s="20">
        <f t="shared" si="53"/>
        <v>0</v>
      </c>
      <c r="BB94" s="20">
        <f t="shared" si="54"/>
        <v>0</v>
      </c>
      <c r="BC94" s="20">
        <f t="shared" si="55"/>
        <v>0</v>
      </c>
      <c r="BD94" s="20">
        <f t="shared" si="56"/>
        <v>0</v>
      </c>
      <c r="BE94" s="20">
        <f t="shared" si="57"/>
        <v>0</v>
      </c>
      <c r="BF94" s="20">
        <f t="shared" si="58"/>
        <v>0</v>
      </c>
      <c r="BG94" s="20">
        <f t="shared" si="59"/>
        <v>0</v>
      </c>
      <c r="BH94" s="20">
        <f t="shared" si="60"/>
        <v>0</v>
      </c>
      <c r="BI94" s="20">
        <f t="shared" si="61"/>
        <v>0</v>
      </c>
      <c r="BJ94" s="21" t="s">
        <v>933</v>
      </c>
      <c r="BK94" s="17" t="s">
        <v>608</v>
      </c>
      <c r="BL94" s="21" t="s">
        <v>609</v>
      </c>
      <c r="BM94" s="41">
        <f t="shared" si="62"/>
        <v>0</v>
      </c>
      <c r="BN94" s="37">
        <f t="shared" si="37"/>
        <v>0</v>
      </c>
    </row>
    <row r="95" spans="1:66" ht="33.75">
      <c r="A95" s="8" t="s">
        <v>611</v>
      </c>
      <c r="B95" s="21" t="s">
        <v>612</v>
      </c>
      <c r="C95" s="60">
        <v>232</v>
      </c>
      <c r="D95" s="29" t="s">
        <v>613</v>
      </c>
      <c r="E95" s="39">
        <v>8444.5</v>
      </c>
      <c r="F95" s="19">
        <f t="shared" si="63"/>
        <v>844.45</v>
      </c>
      <c r="G95" s="19">
        <f t="shared" si="64"/>
        <v>160.44550000000001</v>
      </c>
      <c r="H95" s="19">
        <f t="shared" si="65"/>
        <v>9449.3955000000005</v>
      </c>
      <c r="J95" s="8">
        <f t="shared" si="36"/>
        <v>0</v>
      </c>
      <c r="K95" s="5"/>
      <c r="L95" s="5"/>
      <c r="M95" s="5"/>
      <c r="N95" s="5"/>
      <c r="O95" s="5"/>
      <c r="P95" s="5"/>
      <c r="Q95" s="5"/>
      <c r="R95" s="5"/>
      <c r="S95" s="5"/>
      <c r="T95" s="5"/>
      <c r="U95" s="5"/>
      <c r="V95" s="5"/>
      <c r="W95" s="5"/>
      <c r="X95" s="5"/>
      <c r="Y95" s="5"/>
      <c r="Z95" s="5"/>
      <c r="AA95" s="5"/>
      <c r="AB95" s="5"/>
      <c r="AC95" s="5"/>
      <c r="AD95" s="5"/>
      <c r="AE95" s="5"/>
      <c r="AF95" s="5"/>
      <c r="AG95" s="5"/>
      <c r="AH95" s="5"/>
      <c r="AI95" s="5"/>
      <c r="AK95" s="20">
        <f t="shared" si="66"/>
        <v>0</v>
      </c>
      <c r="AL95" s="20">
        <f t="shared" si="38"/>
        <v>0</v>
      </c>
      <c r="AM95" s="20">
        <f t="shared" si="39"/>
        <v>0</v>
      </c>
      <c r="AN95" s="20">
        <f t="shared" si="40"/>
        <v>0</v>
      </c>
      <c r="AO95" s="20">
        <f t="shared" si="41"/>
        <v>0</v>
      </c>
      <c r="AP95" s="20">
        <f t="shared" si="42"/>
        <v>0</v>
      </c>
      <c r="AQ95" s="20">
        <f t="shared" si="43"/>
        <v>0</v>
      </c>
      <c r="AR95" s="20">
        <f t="shared" si="44"/>
        <v>0</v>
      </c>
      <c r="AS95" s="20">
        <f t="shared" si="45"/>
        <v>0</v>
      </c>
      <c r="AT95" s="20">
        <f t="shared" si="46"/>
        <v>0</v>
      </c>
      <c r="AU95" s="20">
        <f t="shared" si="47"/>
        <v>0</v>
      </c>
      <c r="AV95" s="20">
        <f t="shared" si="48"/>
        <v>0</v>
      </c>
      <c r="AW95" s="20">
        <f t="shared" si="49"/>
        <v>0</v>
      </c>
      <c r="AX95" s="20">
        <f t="shared" si="50"/>
        <v>0</v>
      </c>
      <c r="AY95" s="20">
        <f t="shared" si="51"/>
        <v>0</v>
      </c>
      <c r="AZ95" s="20">
        <f t="shared" si="52"/>
        <v>0</v>
      </c>
      <c r="BA95" s="20">
        <f t="shared" si="53"/>
        <v>0</v>
      </c>
      <c r="BB95" s="20">
        <f t="shared" si="54"/>
        <v>0</v>
      </c>
      <c r="BC95" s="20">
        <f t="shared" si="55"/>
        <v>0</v>
      </c>
      <c r="BD95" s="20">
        <f t="shared" si="56"/>
        <v>0</v>
      </c>
      <c r="BE95" s="20">
        <f t="shared" si="57"/>
        <v>0</v>
      </c>
      <c r="BF95" s="20">
        <f t="shared" si="58"/>
        <v>0</v>
      </c>
      <c r="BG95" s="20">
        <f t="shared" si="59"/>
        <v>0</v>
      </c>
      <c r="BH95" s="20">
        <f t="shared" si="60"/>
        <v>0</v>
      </c>
      <c r="BI95" s="20">
        <f t="shared" si="61"/>
        <v>0</v>
      </c>
      <c r="BJ95" s="21" t="s">
        <v>934</v>
      </c>
      <c r="BK95" s="17" t="s">
        <v>611</v>
      </c>
      <c r="BL95" s="21" t="s">
        <v>612</v>
      </c>
      <c r="BM95" s="41">
        <f t="shared" si="62"/>
        <v>0</v>
      </c>
      <c r="BN95" s="37">
        <f t="shared" si="37"/>
        <v>0</v>
      </c>
    </row>
    <row r="96" spans="1:66" ht="90">
      <c r="A96" s="8" t="s">
        <v>605</v>
      </c>
      <c r="B96" s="21" t="s">
        <v>606</v>
      </c>
      <c r="C96" s="60">
        <v>245</v>
      </c>
      <c r="D96" s="29" t="s">
        <v>614</v>
      </c>
      <c r="E96" s="39">
        <v>6983.4005004088831</v>
      </c>
      <c r="F96" s="19">
        <f t="shared" si="63"/>
        <v>698.3400500408884</v>
      </c>
      <c r="G96" s="19">
        <f t="shared" si="64"/>
        <v>132.68460950776878</v>
      </c>
      <c r="H96" s="19">
        <f t="shared" si="65"/>
        <v>7814.42515995754</v>
      </c>
      <c r="J96" s="8">
        <f t="shared" si="36"/>
        <v>0</v>
      </c>
      <c r="K96" s="5"/>
      <c r="L96" s="5"/>
      <c r="M96" s="5"/>
      <c r="N96" s="5"/>
      <c r="O96" s="5"/>
      <c r="P96" s="5"/>
      <c r="Q96" s="5"/>
      <c r="R96" s="5"/>
      <c r="S96" s="5"/>
      <c r="T96" s="5"/>
      <c r="U96" s="5"/>
      <c r="V96" s="5"/>
      <c r="W96" s="5"/>
      <c r="X96" s="5"/>
      <c r="Y96" s="5"/>
      <c r="Z96" s="5"/>
      <c r="AA96" s="5"/>
      <c r="AB96" s="5"/>
      <c r="AC96" s="5"/>
      <c r="AD96" s="5"/>
      <c r="AE96" s="5"/>
      <c r="AF96" s="5"/>
      <c r="AG96" s="5"/>
      <c r="AH96" s="5"/>
      <c r="AI96" s="5"/>
      <c r="AK96" s="20">
        <f t="shared" si="66"/>
        <v>0</v>
      </c>
      <c r="AL96" s="20">
        <f t="shared" si="38"/>
        <v>0</v>
      </c>
      <c r="AM96" s="20">
        <f t="shared" si="39"/>
        <v>0</v>
      </c>
      <c r="AN96" s="20">
        <f t="shared" si="40"/>
        <v>0</v>
      </c>
      <c r="AO96" s="20">
        <f t="shared" si="41"/>
        <v>0</v>
      </c>
      <c r="AP96" s="20">
        <f t="shared" si="42"/>
        <v>0</v>
      </c>
      <c r="AQ96" s="20">
        <f t="shared" si="43"/>
        <v>0</v>
      </c>
      <c r="AR96" s="20">
        <f t="shared" si="44"/>
        <v>0</v>
      </c>
      <c r="AS96" s="20">
        <f t="shared" si="45"/>
        <v>0</v>
      </c>
      <c r="AT96" s="20">
        <f t="shared" si="46"/>
        <v>0</v>
      </c>
      <c r="AU96" s="20">
        <f t="shared" si="47"/>
        <v>0</v>
      </c>
      <c r="AV96" s="20">
        <f t="shared" si="48"/>
        <v>0</v>
      </c>
      <c r="AW96" s="20">
        <f t="shared" si="49"/>
        <v>0</v>
      </c>
      <c r="AX96" s="20">
        <f t="shared" si="50"/>
        <v>0</v>
      </c>
      <c r="AY96" s="20">
        <f t="shared" si="51"/>
        <v>0</v>
      </c>
      <c r="AZ96" s="20">
        <f t="shared" si="52"/>
        <v>0</v>
      </c>
      <c r="BA96" s="20">
        <f t="shared" si="53"/>
        <v>0</v>
      </c>
      <c r="BB96" s="20">
        <f t="shared" si="54"/>
        <v>0</v>
      </c>
      <c r="BC96" s="20">
        <f t="shared" si="55"/>
        <v>0</v>
      </c>
      <c r="BD96" s="20">
        <f t="shared" si="56"/>
        <v>0</v>
      </c>
      <c r="BE96" s="20">
        <f t="shared" si="57"/>
        <v>0</v>
      </c>
      <c r="BF96" s="20">
        <f t="shared" si="58"/>
        <v>0</v>
      </c>
      <c r="BG96" s="20">
        <f t="shared" si="59"/>
        <v>0</v>
      </c>
      <c r="BH96" s="20">
        <f t="shared" si="60"/>
        <v>0</v>
      </c>
      <c r="BI96" s="20">
        <f t="shared" si="61"/>
        <v>0</v>
      </c>
      <c r="BJ96" s="21" t="s">
        <v>932</v>
      </c>
      <c r="BK96" s="17" t="s">
        <v>605</v>
      </c>
      <c r="BL96" s="21" t="s">
        <v>606</v>
      </c>
      <c r="BM96" s="41">
        <f t="shared" si="62"/>
        <v>0</v>
      </c>
      <c r="BN96" s="37">
        <f t="shared" si="37"/>
        <v>0</v>
      </c>
    </row>
    <row r="97" spans="1:70" ht="90">
      <c r="A97" s="8" t="s">
        <v>605</v>
      </c>
      <c r="B97" s="21" t="s">
        <v>606</v>
      </c>
      <c r="C97" s="60">
        <v>247</v>
      </c>
      <c r="D97" s="29" t="s">
        <v>615</v>
      </c>
      <c r="E97" s="39">
        <v>6983.4005004088831</v>
      </c>
      <c r="F97" s="19">
        <f t="shared" si="63"/>
        <v>698.3400500408884</v>
      </c>
      <c r="G97" s="19">
        <f t="shared" si="64"/>
        <v>132.68460950776878</v>
      </c>
      <c r="H97" s="19">
        <f t="shared" si="65"/>
        <v>7814.42515995754</v>
      </c>
      <c r="J97" s="8">
        <f t="shared" si="36"/>
        <v>0</v>
      </c>
      <c r="K97" s="5"/>
      <c r="L97" s="5"/>
      <c r="M97" s="5"/>
      <c r="N97" s="5"/>
      <c r="O97" s="5"/>
      <c r="P97" s="5"/>
      <c r="Q97" s="5"/>
      <c r="R97" s="5"/>
      <c r="S97" s="5"/>
      <c r="T97" s="5"/>
      <c r="U97" s="5"/>
      <c r="V97" s="5"/>
      <c r="W97" s="5"/>
      <c r="X97" s="5"/>
      <c r="Y97" s="5"/>
      <c r="Z97" s="5"/>
      <c r="AA97" s="5"/>
      <c r="AB97" s="5"/>
      <c r="AC97" s="5"/>
      <c r="AD97" s="5"/>
      <c r="AE97" s="5"/>
      <c r="AF97" s="5"/>
      <c r="AG97" s="5"/>
      <c r="AH97" s="5"/>
      <c r="AI97" s="5"/>
      <c r="AK97" s="20">
        <f t="shared" si="66"/>
        <v>0</v>
      </c>
      <c r="AL97" s="20">
        <f t="shared" si="38"/>
        <v>0</v>
      </c>
      <c r="AM97" s="20">
        <f t="shared" si="39"/>
        <v>0</v>
      </c>
      <c r="AN97" s="20">
        <f t="shared" si="40"/>
        <v>0</v>
      </c>
      <c r="AO97" s="20">
        <f t="shared" si="41"/>
        <v>0</v>
      </c>
      <c r="AP97" s="20">
        <f t="shared" si="42"/>
        <v>0</v>
      </c>
      <c r="AQ97" s="20">
        <f t="shared" si="43"/>
        <v>0</v>
      </c>
      <c r="AR97" s="20">
        <f t="shared" si="44"/>
        <v>0</v>
      </c>
      <c r="AS97" s="20">
        <f t="shared" si="45"/>
        <v>0</v>
      </c>
      <c r="AT97" s="20">
        <f t="shared" si="46"/>
        <v>0</v>
      </c>
      <c r="AU97" s="20">
        <f t="shared" si="47"/>
        <v>0</v>
      </c>
      <c r="AV97" s="20">
        <f t="shared" si="48"/>
        <v>0</v>
      </c>
      <c r="AW97" s="20">
        <f t="shared" si="49"/>
        <v>0</v>
      </c>
      <c r="AX97" s="20">
        <f t="shared" si="50"/>
        <v>0</v>
      </c>
      <c r="AY97" s="20">
        <f t="shared" si="51"/>
        <v>0</v>
      </c>
      <c r="AZ97" s="20">
        <f t="shared" si="52"/>
        <v>0</v>
      </c>
      <c r="BA97" s="20">
        <f t="shared" si="53"/>
        <v>0</v>
      </c>
      <c r="BB97" s="20">
        <f t="shared" si="54"/>
        <v>0</v>
      </c>
      <c r="BC97" s="20">
        <f t="shared" si="55"/>
        <v>0</v>
      </c>
      <c r="BD97" s="20">
        <f t="shared" si="56"/>
        <v>0</v>
      </c>
      <c r="BE97" s="20">
        <f t="shared" si="57"/>
        <v>0</v>
      </c>
      <c r="BF97" s="20">
        <f t="shared" si="58"/>
        <v>0</v>
      </c>
      <c r="BG97" s="20">
        <f t="shared" si="59"/>
        <v>0</v>
      </c>
      <c r="BH97" s="20">
        <f t="shared" si="60"/>
        <v>0</v>
      </c>
      <c r="BI97" s="20">
        <f t="shared" si="61"/>
        <v>0</v>
      </c>
      <c r="BJ97" s="21" t="s">
        <v>932</v>
      </c>
      <c r="BK97" s="17" t="s">
        <v>605</v>
      </c>
      <c r="BL97" s="21" t="s">
        <v>606</v>
      </c>
      <c r="BM97" s="41">
        <f t="shared" si="62"/>
        <v>0</v>
      </c>
      <c r="BN97" s="37">
        <f t="shared" si="37"/>
        <v>0</v>
      </c>
    </row>
    <row r="98" spans="1:70" ht="67.5">
      <c r="A98" s="31" t="s">
        <v>616</v>
      </c>
      <c r="B98" s="32" t="s">
        <v>617</v>
      </c>
      <c r="C98" s="60">
        <v>249</v>
      </c>
      <c r="D98" s="29" t="s">
        <v>618</v>
      </c>
      <c r="E98" s="39">
        <v>3842.3225569688802</v>
      </c>
      <c r="F98" s="19">
        <f t="shared" si="63"/>
        <v>384.23225569688805</v>
      </c>
      <c r="G98" s="19">
        <f t="shared" si="64"/>
        <v>73.004128582408725</v>
      </c>
      <c r="H98" s="19">
        <f t="shared" si="65"/>
        <v>4299.5589412481777</v>
      </c>
      <c r="J98" s="8">
        <f t="shared" si="36"/>
        <v>0</v>
      </c>
      <c r="K98" s="5"/>
      <c r="L98" s="8"/>
      <c r="M98" s="8"/>
      <c r="N98" s="8"/>
      <c r="O98" s="8"/>
      <c r="P98" s="8"/>
      <c r="Q98" s="8"/>
      <c r="R98" s="8"/>
      <c r="S98" s="8"/>
      <c r="T98" s="8"/>
      <c r="U98" s="8"/>
      <c r="V98" s="8"/>
      <c r="W98" s="8"/>
      <c r="X98" s="8"/>
      <c r="Y98" s="8"/>
      <c r="Z98" s="8"/>
      <c r="AA98" s="8"/>
      <c r="AB98" s="8"/>
      <c r="AC98" s="8"/>
      <c r="AD98" s="8"/>
      <c r="AE98" s="8"/>
      <c r="AF98" s="8"/>
      <c r="AG98" s="8"/>
      <c r="AH98" s="8"/>
      <c r="AI98" s="8"/>
      <c r="AK98" s="20">
        <f t="shared" si="66"/>
        <v>0</v>
      </c>
      <c r="AL98" s="20">
        <f t="shared" si="38"/>
        <v>0</v>
      </c>
      <c r="AM98" s="20">
        <f t="shared" si="39"/>
        <v>0</v>
      </c>
      <c r="AN98" s="20">
        <f t="shared" si="40"/>
        <v>0</v>
      </c>
      <c r="AO98" s="20">
        <f t="shared" si="41"/>
        <v>0</v>
      </c>
      <c r="AP98" s="20">
        <f t="shared" si="42"/>
        <v>0</v>
      </c>
      <c r="AQ98" s="20">
        <f t="shared" si="43"/>
        <v>0</v>
      </c>
      <c r="AR98" s="20">
        <f t="shared" si="44"/>
        <v>0</v>
      </c>
      <c r="AS98" s="20">
        <f t="shared" si="45"/>
        <v>0</v>
      </c>
      <c r="AT98" s="20">
        <f t="shared" si="46"/>
        <v>0</v>
      </c>
      <c r="AU98" s="20">
        <f t="shared" si="47"/>
        <v>0</v>
      </c>
      <c r="AV98" s="20">
        <f t="shared" si="48"/>
        <v>0</v>
      </c>
      <c r="AW98" s="20">
        <f t="shared" si="49"/>
        <v>0</v>
      </c>
      <c r="AX98" s="20">
        <f t="shared" si="50"/>
        <v>0</v>
      </c>
      <c r="AY98" s="20">
        <f t="shared" si="51"/>
        <v>0</v>
      </c>
      <c r="AZ98" s="20">
        <f t="shared" si="52"/>
        <v>0</v>
      </c>
      <c r="BA98" s="20">
        <f t="shared" si="53"/>
        <v>0</v>
      </c>
      <c r="BB98" s="20">
        <f t="shared" si="54"/>
        <v>0</v>
      </c>
      <c r="BC98" s="20">
        <f t="shared" si="55"/>
        <v>0</v>
      </c>
      <c r="BD98" s="20">
        <f t="shared" si="56"/>
        <v>0</v>
      </c>
      <c r="BE98" s="20">
        <f t="shared" si="57"/>
        <v>0</v>
      </c>
      <c r="BF98" s="20">
        <f t="shared" si="58"/>
        <v>0</v>
      </c>
      <c r="BG98" s="20">
        <f t="shared" si="59"/>
        <v>0</v>
      </c>
      <c r="BH98" s="20">
        <f t="shared" si="60"/>
        <v>0</v>
      </c>
      <c r="BI98" s="20">
        <f t="shared" si="61"/>
        <v>0</v>
      </c>
      <c r="BJ98" s="32" t="s">
        <v>935</v>
      </c>
      <c r="BK98" s="33" t="s">
        <v>616</v>
      </c>
      <c r="BL98" s="32" t="s">
        <v>617</v>
      </c>
      <c r="BM98" s="41">
        <f t="shared" si="62"/>
        <v>0</v>
      </c>
      <c r="BN98" s="37">
        <f t="shared" ref="BN98:BN130" si="67">+ROUND((E98*J98),0)</f>
        <v>0</v>
      </c>
    </row>
    <row r="99" spans="1:70" ht="90">
      <c r="A99" s="34" t="s">
        <v>605</v>
      </c>
      <c r="B99" s="18" t="s">
        <v>606</v>
      </c>
      <c r="C99" s="60">
        <v>264</v>
      </c>
      <c r="D99" s="29" t="s">
        <v>619</v>
      </c>
      <c r="E99" s="39">
        <v>556.01643912940597</v>
      </c>
      <c r="F99" s="19">
        <f t="shared" si="63"/>
        <v>55.601643912940602</v>
      </c>
      <c r="G99" s="19">
        <f t="shared" si="64"/>
        <v>10.564312343458715</v>
      </c>
      <c r="H99" s="19">
        <f t="shared" si="65"/>
        <v>622.18239538580531</v>
      </c>
      <c r="J99" s="8">
        <f t="shared" si="36"/>
        <v>10</v>
      </c>
      <c r="K99" s="92">
        <v>10</v>
      </c>
      <c r="L99" s="92"/>
      <c r="M99" s="92"/>
      <c r="N99" s="92"/>
      <c r="O99" s="92"/>
      <c r="P99" s="92"/>
      <c r="Q99" s="92"/>
      <c r="R99" s="92"/>
      <c r="S99" s="92"/>
      <c r="T99" s="92"/>
      <c r="U99" s="92"/>
      <c r="V99" s="92"/>
      <c r="W99" s="92"/>
      <c r="X99" s="92"/>
      <c r="Y99" s="92"/>
      <c r="Z99" s="92"/>
      <c r="AA99" s="92"/>
      <c r="AB99" s="92"/>
      <c r="AC99" s="92"/>
      <c r="AD99" s="92"/>
      <c r="AE99" s="92"/>
      <c r="AF99" s="92"/>
      <c r="AG99" s="92"/>
      <c r="AH99" s="92"/>
      <c r="AI99" s="92"/>
      <c r="AK99" s="20">
        <f t="shared" si="66"/>
        <v>6222</v>
      </c>
      <c r="AL99" s="20">
        <f t="shared" si="38"/>
        <v>0</v>
      </c>
      <c r="AM99" s="20">
        <f t="shared" si="39"/>
        <v>0</v>
      </c>
      <c r="AN99" s="20">
        <f t="shared" si="40"/>
        <v>0</v>
      </c>
      <c r="AO99" s="20">
        <f t="shared" si="41"/>
        <v>0</v>
      </c>
      <c r="AP99" s="20">
        <f t="shared" si="42"/>
        <v>0</v>
      </c>
      <c r="AQ99" s="20">
        <f t="shared" si="43"/>
        <v>0</v>
      </c>
      <c r="AR99" s="20">
        <f t="shared" si="44"/>
        <v>0</v>
      </c>
      <c r="AS99" s="20">
        <f t="shared" si="45"/>
        <v>0</v>
      </c>
      <c r="AT99" s="20">
        <f t="shared" si="46"/>
        <v>0</v>
      </c>
      <c r="AU99" s="20">
        <f t="shared" si="47"/>
        <v>0</v>
      </c>
      <c r="AV99" s="20">
        <f t="shared" si="48"/>
        <v>0</v>
      </c>
      <c r="AW99" s="20">
        <f t="shared" si="49"/>
        <v>0</v>
      </c>
      <c r="AX99" s="20">
        <f t="shared" si="50"/>
        <v>0</v>
      </c>
      <c r="AY99" s="20">
        <f t="shared" si="51"/>
        <v>0</v>
      </c>
      <c r="AZ99" s="20">
        <f t="shared" si="52"/>
        <v>0</v>
      </c>
      <c r="BA99" s="20">
        <f t="shared" si="53"/>
        <v>0</v>
      </c>
      <c r="BB99" s="20">
        <f t="shared" si="54"/>
        <v>0</v>
      </c>
      <c r="BC99" s="20">
        <f t="shared" si="55"/>
        <v>0</v>
      </c>
      <c r="BD99" s="20">
        <f t="shared" si="56"/>
        <v>0</v>
      </c>
      <c r="BE99" s="20">
        <f t="shared" si="57"/>
        <v>0</v>
      </c>
      <c r="BF99" s="20">
        <f t="shared" si="58"/>
        <v>0</v>
      </c>
      <c r="BG99" s="20">
        <f t="shared" si="59"/>
        <v>0</v>
      </c>
      <c r="BH99" s="20">
        <f t="shared" si="60"/>
        <v>0</v>
      </c>
      <c r="BI99" s="20">
        <f t="shared" si="61"/>
        <v>0</v>
      </c>
      <c r="BJ99" s="18" t="s">
        <v>932</v>
      </c>
      <c r="BK99" s="35" t="s">
        <v>605</v>
      </c>
      <c r="BL99" s="18" t="s">
        <v>606</v>
      </c>
      <c r="BM99" s="41">
        <f t="shared" si="62"/>
        <v>6222</v>
      </c>
      <c r="BN99" s="37">
        <f t="shared" si="67"/>
        <v>5560</v>
      </c>
      <c r="BO99" s="37"/>
      <c r="BQ99" s="37"/>
      <c r="BR99" s="42"/>
    </row>
    <row r="100" spans="1:70" ht="34.5" customHeight="1">
      <c r="A100" s="34" t="s">
        <v>605</v>
      </c>
      <c r="B100" s="18" t="s">
        <v>606</v>
      </c>
      <c r="C100" s="60">
        <v>266</v>
      </c>
      <c r="D100" s="29" t="s">
        <v>620</v>
      </c>
      <c r="E100" s="39">
        <v>999.16983986836544</v>
      </c>
      <c r="F100" s="19">
        <f t="shared" si="63"/>
        <v>99.916983986836556</v>
      </c>
      <c r="G100" s="19">
        <f t="shared" si="64"/>
        <v>18.984226957498947</v>
      </c>
      <c r="H100" s="19">
        <f t="shared" si="65"/>
        <v>1118.0710508127011</v>
      </c>
      <c r="J100" s="8">
        <f t="shared" si="36"/>
        <v>34</v>
      </c>
      <c r="K100" s="92">
        <v>10</v>
      </c>
      <c r="L100" s="92">
        <v>1</v>
      </c>
      <c r="M100" s="92">
        <v>1</v>
      </c>
      <c r="N100" s="92">
        <v>1</v>
      </c>
      <c r="O100" s="92">
        <v>1</v>
      </c>
      <c r="P100" s="92">
        <v>1</v>
      </c>
      <c r="Q100" s="92">
        <v>1</v>
      </c>
      <c r="R100" s="92">
        <v>1</v>
      </c>
      <c r="S100" s="92">
        <v>1</v>
      </c>
      <c r="T100" s="92">
        <v>1</v>
      </c>
      <c r="U100" s="92">
        <v>1</v>
      </c>
      <c r="V100" s="92">
        <v>1</v>
      </c>
      <c r="W100" s="92">
        <v>1</v>
      </c>
      <c r="X100" s="92">
        <v>1</v>
      </c>
      <c r="Y100" s="92">
        <v>1</v>
      </c>
      <c r="Z100" s="92">
        <v>1</v>
      </c>
      <c r="AA100" s="92">
        <v>1</v>
      </c>
      <c r="AB100" s="92">
        <v>1</v>
      </c>
      <c r="AC100" s="92">
        <v>1</v>
      </c>
      <c r="AD100" s="92">
        <v>1</v>
      </c>
      <c r="AE100" s="92">
        <v>1</v>
      </c>
      <c r="AF100" s="92">
        <v>1</v>
      </c>
      <c r="AG100" s="92">
        <v>1</v>
      </c>
      <c r="AH100" s="92">
        <v>1</v>
      </c>
      <c r="AI100" s="92">
        <v>1</v>
      </c>
      <c r="AK100" s="20">
        <f t="shared" si="66"/>
        <v>11181</v>
      </c>
      <c r="AL100" s="20">
        <f t="shared" si="38"/>
        <v>1118</v>
      </c>
      <c r="AM100" s="20">
        <f t="shared" si="39"/>
        <v>1118</v>
      </c>
      <c r="AN100" s="20">
        <f t="shared" si="40"/>
        <v>1118</v>
      </c>
      <c r="AO100" s="20">
        <f t="shared" si="41"/>
        <v>1118</v>
      </c>
      <c r="AP100" s="20">
        <f t="shared" si="42"/>
        <v>1118</v>
      </c>
      <c r="AQ100" s="20">
        <f t="shared" si="43"/>
        <v>1118</v>
      </c>
      <c r="AR100" s="20">
        <f t="shared" si="44"/>
        <v>1118</v>
      </c>
      <c r="AS100" s="20">
        <f t="shared" si="45"/>
        <v>1118</v>
      </c>
      <c r="AT100" s="20">
        <f t="shared" si="46"/>
        <v>1118</v>
      </c>
      <c r="AU100" s="20">
        <f t="shared" si="47"/>
        <v>1118</v>
      </c>
      <c r="AV100" s="20">
        <f t="shared" si="48"/>
        <v>1118</v>
      </c>
      <c r="AW100" s="20">
        <f t="shared" si="49"/>
        <v>1118</v>
      </c>
      <c r="AX100" s="20">
        <f t="shared" si="50"/>
        <v>1118</v>
      </c>
      <c r="AY100" s="20">
        <f t="shared" si="51"/>
        <v>1118</v>
      </c>
      <c r="AZ100" s="20">
        <f t="shared" si="52"/>
        <v>1118</v>
      </c>
      <c r="BA100" s="20">
        <f t="shared" si="53"/>
        <v>1118</v>
      </c>
      <c r="BB100" s="20">
        <f t="shared" si="54"/>
        <v>1118</v>
      </c>
      <c r="BC100" s="20">
        <f t="shared" si="55"/>
        <v>1118</v>
      </c>
      <c r="BD100" s="20">
        <f t="shared" si="56"/>
        <v>1118</v>
      </c>
      <c r="BE100" s="20">
        <f t="shared" si="57"/>
        <v>1118</v>
      </c>
      <c r="BF100" s="20">
        <f t="shared" si="58"/>
        <v>1118</v>
      </c>
      <c r="BG100" s="20">
        <f t="shared" si="59"/>
        <v>1118</v>
      </c>
      <c r="BH100" s="20">
        <f t="shared" si="60"/>
        <v>1118</v>
      </c>
      <c r="BI100" s="20">
        <f t="shared" si="61"/>
        <v>1118</v>
      </c>
      <c r="BJ100" s="18" t="s">
        <v>932</v>
      </c>
      <c r="BK100" s="35" t="s">
        <v>605</v>
      </c>
      <c r="BL100" s="18" t="s">
        <v>606</v>
      </c>
      <c r="BM100" s="41">
        <f t="shared" si="62"/>
        <v>38013</v>
      </c>
      <c r="BN100" s="37">
        <f t="shared" si="67"/>
        <v>33972</v>
      </c>
    </row>
    <row r="101" spans="1:70" ht="34.5" customHeight="1">
      <c r="A101" s="34" t="s">
        <v>605</v>
      </c>
      <c r="B101" s="18" t="s">
        <v>606</v>
      </c>
      <c r="C101" s="60">
        <v>272</v>
      </c>
      <c r="D101" s="29" t="s">
        <v>621</v>
      </c>
      <c r="E101" s="39">
        <v>679.6678561895277</v>
      </c>
      <c r="F101" s="19">
        <f t="shared" ref="F101:F130" si="68">+E101*10%</f>
        <v>67.96678561895277</v>
      </c>
      <c r="G101" s="19">
        <f t="shared" ref="G101:G130" si="69">+F101*19%</f>
        <v>12.913689267601026</v>
      </c>
      <c r="H101" s="19">
        <f t="shared" ref="H101:H130" si="70">+E101+F101+G101</f>
        <v>760.54833107608147</v>
      </c>
      <c r="J101" s="8">
        <f t="shared" si="36"/>
        <v>10</v>
      </c>
      <c r="K101" s="92">
        <v>10</v>
      </c>
      <c r="L101" s="92"/>
      <c r="M101" s="92"/>
      <c r="N101" s="92"/>
      <c r="O101" s="92"/>
      <c r="P101" s="92"/>
      <c r="Q101" s="92"/>
      <c r="R101" s="92"/>
      <c r="S101" s="92"/>
      <c r="T101" s="92"/>
      <c r="U101" s="92"/>
      <c r="V101" s="92"/>
      <c r="W101" s="92"/>
      <c r="X101" s="92"/>
      <c r="Y101" s="92"/>
      <c r="Z101" s="92"/>
      <c r="AA101" s="92"/>
      <c r="AB101" s="92"/>
      <c r="AC101" s="92"/>
      <c r="AD101" s="92"/>
      <c r="AE101" s="92"/>
      <c r="AF101" s="92"/>
      <c r="AG101" s="92"/>
      <c r="AH101" s="92"/>
      <c r="AI101" s="92"/>
      <c r="AK101" s="20">
        <f t="shared" si="66"/>
        <v>7605</v>
      </c>
      <c r="AL101" s="20">
        <f t="shared" si="38"/>
        <v>0</v>
      </c>
      <c r="AM101" s="20">
        <f t="shared" si="39"/>
        <v>0</v>
      </c>
      <c r="AN101" s="20">
        <f t="shared" si="40"/>
        <v>0</v>
      </c>
      <c r="AO101" s="20">
        <f t="shared" si="41"/>
        <v>0</v>
      </c>
      <c r="AP101" s="20">
        <f t="shared" si="42"/>
        <v>0</v>
      </c>
      <c r="AQ101" s="20">
        <f t="shared" si="43"/>
        <v>0</v>
      </c>
      <c r="AR101" s="20">
        <f t="shared" si="44"/>
        <v>0</v>
      </c>
      <c r="AS101" s="20">
        <f t="shared" si="45"/>
        <v>0</v>
      </c>
      <c r="AT101" s="20">
        <f t="shared" si="46"/>
        <v>0</v>
      </c>
      <c r="AU101" s="20">
        <f t="shared" si="47"/>
        <v>0</v>
      </c>
      <c r="AV101" s="20">
        <f t="shared" si="48"/>
        <v>0</v>
      </c>
      <c r="AW101" s="20">
        <f t="shared" si="49"/>
        <v>0</v>
      </c>
      <c r="AX101" s="20">
        <f t="shared" si="50"/>
        <v>0</v>
      </c>
      <c r="AY101" s="20">
        <f t="shared" si="51"/>
        <v>0</v>
      </c>
      <c r="AZ101" s="20">
        <f t="shared" si="52"/>
        <v>0</v>
      </c>
      <c r="BA101" s="20">
        <f t="shared" si="53"/>
        <v>0</v>
      </c>
      <c r="BB101" s="20">
        <f t="shared" si="54"/>
        <v>0</v>
      </c>
      <c r="BC101" s="20">
        <f t="shared" si="55"/>
        <v>0</v>
      </c>
      <c r="BD101" s="20">
        <f t="shared" si="56"/>
        <v>0</v>
      </c>
      <c r="BE101" s="20">
        <f t="shared" si="57"/>
        <v>0</v>
      </c>
      <c r="BF101" s="20">
        <f t="shared" si="58"/>
        <v>0</v>
      </c>
      <c r="BG101" s="20">
        <f t="shared" si="59"/>
        <v>0</v>
      </c>
      <c r="BH101" s="20">
        <f t="shared" si="60"/>
        <v>0</v>
      </c>
      <c r="BI101" s="20">
        <f t="shared" si="61"/>
        <v>0</v>
      </c>
      <c r="BJ101" s="18" t="s">
        <v>932</v>
      </c>
      <c r="BK101" s="35" t="s">
        <v>605</v>
      </c>
      <c r="BL101" s="18" t="s">
        <v>606</v>
      </c>
      <c r="BM101" s="41">
        <f t="shared" si="62"/>
        <v>7605</v>
      </c>
      <c r="BN101" s="37">
        <f t="shared" si="67"/>
        <v>6797</v>
      </c>
    </row>
    <row r="102" spans="1:70" ht="34.5" customHeight="1">
      <c r="A102" s="34" t="s">
        <v>605</v>
      </c>
      <c r="B102" s="18" t="s">
        <v>606</v>
      </c>
      <c r="C102" s="60">
        <v>276</v>
      </c>
      <c r="D102" s="29" t="s">
        <v>622</v>
      </c>
      <c r="E102" s="39">
        <v>1564.3149071028811</v>
      </c>
      <c r="F102" s="19">
        <f t="shared" si="68"/>
        <v>156.43149071028813</v>
      </c>
      <c r="G102" s="19">
        <f t="shared" si="69"/>
        <v>29.721983234954745</v>
      </c>
      <c r="H102" s="19">
        <f t="shared" si="70"/>
        <v>1750.4683810481238</v>
      </c>
      <c r="J102" s="8">
        <f t="shared" si="36"/>
        <v>10</v>
      </c>
      <c r="K102" s="92">
        <v>10</v>
      </c>
      <c r="L102" s="92"/>
      <c r="M102" s="92"/>
      <c r="N102" s="92"/>
      <c r="O102" s="92"/>
      <c r="P102" s="92"/>
      <c r="Q102" s="92"/>
      <c r="R102" s="92"/>
      <c r="S102" s="92"/>
      <c r="T102" s="92"/>
      <c r="U102" s="92"/>
      <c r="V102" s="92"/>
      <c r="W102" s="92"/>
      <c r="X102" s="92"/>
      <c r="Y102" s="92"/>
      <c r="Z102" s="92"/>
      <c r="AA102" s="92"/>
      <c r="AB102" s="92"/>
      <c r="AC102" s="92"/>
      <c r="AD102" s="92"/>
      <c r="AE102" s="92"/>
      <c r="AF102" s="92"/>
      <c r="AG102" s="92"/>
      <c r="AH102" s="92"/>
      <c r="AI102" s="92"/>
      <c r="AK102" s="20">
        <f t="shared" si="66"/>
        <v>17505</v>
      </c>
      <c r="AL102" s="20">
        <f t="shared" si="38"/>
        <v>0</v>
      </c>
      <c r="AM102" s="20">
        <f t="shared" si="39"/>
        <v>0</v>
      </c>
      <c r="AN102" s="20">
        <f t="shared" si="40"/>
        <v>0</v>
      </c>
      <c r="AO102" s="20">
        <f t="shared" si="41"/>
        <v>0</v>
      </c>
      <c r="AP102" s="20">
        <f t="shared" si="42"/>
        <v>0</v>
      </c>
      <c r="AQ102" s="20">
        <f t="shared" si="43"/>
        <v>0</v>
      </c>
      <c r="AR102" s="20">
        <f t="shared" si="44"/>
        <v>0</v>
      </c>
      <c r="AS102" s="20">
        <f t="shared" si="45"/>
        <v>0</v>
      </c>
      <c r="AT102" s="20">
        <f t="shared" si="46"/>
        <v>0</v>
      </c>
      <c r="AU102" s="20">
        <f t="shared" si="47"/>
        <v>0</v>
      </c>
      <c r="AV102" s="20">
        <f t="shared" si="48"/>
        <v>0</v>
      </c>
      <c r="AW102" s="20">
        <f t="shared" si="49"/>
        <v>0</v>
      </c>
      <c r="AX102" s="20">
        <f t="shared" si="50"/>
        <v>0</v>
      </c>
      <c r="AY102" s="20">
        <f t="shared" si="51"/>
        <v>0</v>
      </c>
      <c r="AZ102" s="20">
        <f t="shared" si="52"/>
        <v>0</v>
      </c>
      <c r="BA102" s="20">
        <f t="shared" si="53"/>
        <v>0</v>
      </c>
      <c r="BB102" s="20">
        <f t="shared" si="54"/>
        <v>0</v>
      </c>
      <c r="BC102" s="20">
        <f t="shared" si="55"/>
        <v>0</v>
      </c>
      <c r="BD102" s="20">
        <f t="shared" si="56"/>
        <v>0</v>
      </c>
      <c r="BE102" s="20">
        <f t="shared" si="57"/>
        <v>0</v>
      </c>
      <c r="BF102" s="20">
        <f t="shared" si="58"/>
        <v>0</v>
      </c>
      <c r="BG102" s="20">
        <f t="shared" si="59"/>
        <v>0</v>
      </c>
      <c r="BH102" s="20">
        <f t="shared" si="60"/>
        <v>0</v>
      </c>
      <c r="BI102" s="20">
        <f t="shared" si="61"/>
        <v>0</v>
      </c>
      <c r="BJ102" s="18" t="s">
        <v>932</v>
      </c>
      <c r="BK102" s="35" t="s">
        <v>605</v>
      </c>
      <c r="BL102" s="18" t="s">
        <v>606</v>
      </c>
      <c r="BM102" s="41">
        <f t="shared" si="62"/>
        <v>17505</v>
      </c>
      <c r="BN102" s="37">
        <f t="shared" si="67"/>
        <v>15643</v>
      </c>
    </row>
    <row r="103" spans="1:70" ht="34.5" customHeight="1">
      <c r="A103" s="8" t="s">
        <v>605</v>
      </c>
      <c r="B103" s="21" t="s">
        <v>606</v>
      </c>
      <c r="C103" s="60">
        <v>280</v>
      </c>
      <c r="D103" s="29" t="s">
        <v>623</v>
      </c>
      <c r="E103" s="39">
        <v>2081.3272079650005</v>
      </c>
      <c r="F103" s="19">
        <f t="shared" si="68"/>
        <v>208.13272079650005</v>
      </c>
      <c r="G103" s="19">
        <f t="shared" si="69"/>
        <v>39.545216951335007</v>
      </c>
      <c r="H103" s="19">
        <f t="shared" si="70"/>
        <v>2329.0051457128357</v>
      </c>
      <c r="J103" s="8">
        <f t="shared" si="36"/>
        <v>0</v>
      </c>
      <c r="K103" s="5"/>
      <c r="L103" s="8"/>
      <c r="M103" s="8"/>
      <c r="N103" s="8"/>
      <c r="O103" s="8"/>
      <c r="P103" s="8"/>
      <c r="Q103" s="8"/>
      <c r="R103" s="8"/>
      <c r="S103" s="8"/>
      <c r="T103" s="8"/>
      <c r="U103" s="8"/>
      <c r="V103" s="8"/>
      <c r="W103" s="8"/>
      <c r="X103" s="8"/>
      <c r="Y103" s="8"/>
      <c r="Z103" s="8"/>
      <c r="AA103" s="8"/>
      <c r="AB103" s="8"/>
      <c r="AC103" s="8"/>
      <c r="AD103" s="8"/>
      <c r="AE103" s="8"/>
      <c r="AF103" s="8"/>
      <c r="AG103" s="8"/>
      <c r="AH103" s="8"/>
      <c r="AI103" s="8"/>
      <c r="AK103" s="20">
        <f t="shared" si="66"/>
        <v>0</v>
      </c>
      <c r="AL103" s="20">
        <f t="shared" si="38"/>
        <v>0</v>
      </c>
      <c r="AM103" s="20">
        <f t="shared" si="39"/>
        <v>0</v>
      </c>
      <c r="AN103" s="20">
        <f t="shared" si="40"/>
        <v>0</v>
      </c>
      <c r="AO103" s="20">
        <f t="shared" si="41"/>
        <v>0</v>
      </c>
      <c r="AP103" s="20">
        <f t="shared" si="42"/>
        <v>0</v>
      </c>
      <c r="AQ103" s="20">
        <f t="shared" si="43"/>
        <v>0</v>
      </c>
      <c r="AR103" s="20">
        <f t="shared" si="44"/>
        <v>0</v>
      </c>
      <c r="AS103" s="20">
        <f t="shared" si="45"/>
        <v>0</v>
      </c>
      <c r="AT103" s="20">
        <f t="shared" si="46"/>
        <v>0</v>
      </c>
      <c r="AU103" s="20">
        <f t="shared" si="47"/>
        <v>0</v>
      </c>
      <c r="AV103" s="20">
        <f t="shared" si="48"/>
        <v>0</v>
      </c>
      <c r="AW103" s="20">
        <f t="shared" si="49"/>
        <v>0</v>
      </c>
      <c r="AX103" s="20">
        <f t="shared" si="50"/>
        <v>0</v>
      </c>
      <c r="AY103" s="20">
        <f t="shared" si="51"/>
        <v>0</v>
      </c>
      <c r="AZ103" s="20">
        <f t="shared" si="52"/>
        <v>0</v>
      </c>
      <c r="BA103" s="20">
        <f t="shared" si="53"/>
        <v>0</v>
      </c>
      <c r="BB103" s="20">
        <f t="shared" si="54"/>
        <v>0</v>
      </c>
      <c r="BC103" s="20">
        <f t="shared" si="55"/>
        <v>0</v>
      </c>
      <c r="BD103" s="20">
        <f t="shared" si="56"/>
        <v>0</v>
      </c>
      <c r="BE103" s="20">
        <f t="shared" si="57"/>
        <v>0</v>
      </c>
      <c r="BF103" s="20">
        <f t="shared" si="58"/>
        <v>0</v>
      </c>
      <c r="BG103" s="20">
        <f t="shared" si="59"/>
        <v>0</v>
      </c>
      <c r="BH103" s="20">
        <f t="shared" si="60"/>
        <v>0</v>
      </c>
      <c r="BI103" s="20">
        <f t="shared" si="61"/>
        <v>0</v>
      </c>
      <c r="BJ103" s="21" t="s">
        <v>932</v>
      </c>
      <c r="BK103" s="17" t="s">
        <v>605</v>
      </c>
      <c r="BL103" s="21" t="s">
        <v>606</v>
      </c>
      <c r="BM103" s="41">
        <f t="shared" si="62"/>
        <v>0</v>
      </c>
      <c r="BN103" s="37">
        <f t="shared" si="67"/>
        <v>0</v>
      </c>
    </row>
    <row r="104" spans="1:70" ht="34.5" customHeight="1">
      <c r="A104" s="8" t="s">
        <v>624</v>
      </c>
      <c r="B104" s="36" t="s">
        <v>625</v>
      </c>
      <c r="C104" s="60">
        <v>283</v>
      </c>
      <c r="D104" s="29" t="s">
        <v>626</v>
      </c>
      <c r="E104" s="39">
        <v>10314.831086722479</v>
      </c>
      <c r="F104" s="19">
        <f t="shared" si="68"/>
        <v>1031.4831086722479</v>
      </c>
      <c r="G104" s="19">
        <f t="shared" si="69"/>
        <v>195.98179064772711</v>
      </c>
      <c r="H104" s="19">
        <f t="shared" si="70"/>
        <v>11542.295986042454</v>
      </c>
      <c r="J104" s="8">
        <f t="shared" si="36"/>
        <v>70</v>
      </c>
      <c r="K104" s="92">
        <v>12</v>
      </c>
      <c r="L104" s="92">
        <v>5</v>
      </c>
      <c r="M104" s="92">
        <v>3</v>
      </c>
      <c r="N104" s="92">
        <v>1</v>
      </c>
      <c r="O104" s="92">
        <v>3</v>
      </c>
      <c r="P104" s="92">
        <v>3</v>
      </c>
      <c r="Q104" s="92">
        <v>3</v>
      </c>
      <c r="R104" s="92">
        <v>3</v>
      </c>
      <c r="S104" s="92">
        <v>3</v>
      </c>
      <c r="T104" s="92">
        <v>3</v>
      </c>
      <c r="U104" s="92">
        <v>2</v>
      </c>
      <c r="V104" s="92">
        <v>2</v>
      </c>
      <c r="W104" s="92">
        <v>2</v>
      </c>
      <c r="X104" s="92">
        <v>2</v>
      </c>
      <c r="Y104" s="92">
        <v>2</v>
      </c>
      <c r="Z104" s="92">
        <v>2</v>
      </c>
      <c r="AA104" s="92">
        <v>2</v>
      </c>
      <c r="AB104" s="92">
        <v>3</v>
      </c>
      <c r="AC104" s="92">
        <v>2</v>
      </c>
      <c r="AD104" s="92">
        <v>2</v>
      </c>
      <c r="AE104" s="92">
        <v>2</v>
      </c>
      <c r="AF104" s="92">
        <v>2</v>
      </c>
      <c r="AG104" s="92">
        <v>2</v>
      </c>
      <c r="AH104" s="92">
        <v>2</v>
      </c>
      <c r="AI104" s="92">
        <v>2</v>
      </c>
      <c r="AK104" s="20">
        <f t="shared" si="66"/>
        <v>138508</v>
      </c>
      <c r="AL104" s="20">
        <f t="shared" si="38"/>
        <v>57711</v>
      </c>
      <c r="AM104" s="20">
        <f t="shared" si="39"/>
        <v>34627</v>
      </c>
      <c r="AN104" s="20">
        <f t="shared" si="40"/>
        <v>11542</v>
      </c>
      <c r="AO104" s="20">
        <f t="shared" si="41"/>
        <v>34627</v>
      </c>
      <c r="AP104" s="20">
        <f t="shared" si="42"/>
        <v>34627</v>
      </c>
      <c r="AQ104" s="20">
        <f t="shared" si="43"/>
        <v>34627</v>
      </c>
      <c r="AR104" s="20">
        <f t="shared" si="44"/>
        <v>34627</v>
      </c>
      <c r="AS104" s="20">
        <f t="shared" si="45"/>
        <v>34627</v>
      </c>
      <c r="AT104" s="20">
        <f t="shared" si="46"/>
        <v>34627</v>
      </c>
      <c r="AU104" s="20">
        <f t="shared" si="47"/>
        <v>23085</v>
      </c>
      <c r="AV104" s="20">
        <f t="shared" si="48"/>
        <v>23085</v>
      </c>
      <c r="AW104" s="20">
        <f t="shared" si="49"/>
        <v>23085</v>
      </c>
      <c r="AX104" s="20">
        <f t="shared" si="50"/>
        <v>23085</v>
      </c>
      <c r="AY104" s="20">
        <f t="shared" si="51"/>
        <v>23085</v>
      </c>
      <c r="AZ104" s="20">
        <f t="shared" si="52"/>
        <v>23085</v>
      </c>
      <c r="BA104" s="20">
        <f t="shared" si="53"/>
        <v>23085</v>
      </c>
      <c r="BB104" s="20">
        <f t="shared" si="54"/>
        <v>34627</v>
      </c>
      <c r="BC104" s="20">
        <f t="shared" si="55"/>
        <v>23085</v>
      </c>
      <c r="BD104" s="20">
        <f t="shared" si="56"/>
        <v>23085</v>
      </c>
      <c r="BE104" s="20">
        <f t="shared" si="57"/>
        <v>23085</v>
      </c>
      <c r="BF104" s="20">
        <f t="shared" si="58"/>
        <v>23085</v>
      </c>
      <c r="BG104" s="20">
        <f t="shared" si="59"/>
        <v>23085</v>
      </c>
      <c r="BH104" s="20">
        <f t="shared" si="60"/>
        <v>23085</v>
      </c>
      <c r="BI104" s="20">
        <f t="shared" si="61"/>
        <v>23085</v>
      </c>
      <c r="BJ104" s="36" t="s">
        <v>936</v>
      </c>
      <c r="BK104" s="17" t="s">
        <v>624</v>
      </c>
      <c r="BL104" s="36" t="s">
        <v>625</v>
      </c>
      <c r="BM104" s="41">
        <f t="shared" si="62"/>
        <v>807967</v>
      </c>
      <c r="BN104" s="37">
        <f t="shared" si="67"/>
        <v>722038</v>
      </c>
    </row>
    <row r="105" spans="1:70" ht="34.5" customHeight="1">
      <c r="A105" s="8" t="s">
        <v>624</v>
      </c>
      <c r="B105" s="36" t="s">
        <v>625</v>
      </c>
      <c r="C105" s="60">
        <v>287</v>
      </c>
      <c r="D105" s="29" t="s">
        <v>627</v>
      </c>
      <c r="E105" s="39">
        <v>20130.18098792106</v>
      </c>
      <c r="F105" s="19">
        <f t="shared" si="68"/>
        <v>2013.018098792106</v>
      </c>
      <c r="G105" s="19">
        <f t="shared" si="69"/>
        <v>382.47343877050014</v>
      </c>
      <c r="H105" s="19">
        <f t="shared" si="70"/>
        <v>22525.672525483664</v>
      </c>
      <c r="J105" s="8">
        <f t="shared" si="36"/>
        <v>43</v>
      </c>
      <c r="K105" s="92">
        <v>7</v>
      </c>
      <c r="L105" s="92">
        <v>4</v>
      </c>
      <c r="M105" s="92">
        <v>1</v>
      </c>
      <c r="N105" s="92">
        <v>2</v>
      </c>
      <c r="O105" s="92">
        <v>2</v>
      </c>
      <c r="P105" s="92">
        <v>2</v>
      </c>
      <c r="Q105" s="92">
        <v>2</v>
      </c>
      <c r="R105" s="92">
        <v>2</v>
      </c>
      <c r="S105" s="92">
        <v>2</v>
      </c>
      <c r="T105" s="92">
        <v>2</v>
      </c>
      <c r="U105" s="92">
        <v>2</v>
      </c>
      <c r="V105" s="92">
        <v>1</v>
      </c>
      <c r="W105" s="92">
        <v>1</v>
      </c>
      <c r="X105" s="92">
        <v>1</v>
      </c>
      <c r="Y105" s="92">
        <v>1</v>
      </c>
      <c r="Z105" s="92">
        <v>1</v>
      </c>
      <c r="AA105" s="92">
        <v>1</v>
      </c>
      <c r="AB105" s="92">
        <v>2</v>
      </c>
      <c r="AC105" s="92">
        <v>1</v>
      </c>
      <c r="AD105" s="92">
        <v>1</v>
      </c>
      <c r="AE105" s="92">
        <v>1</v>
      </c>
      <c r="AF105" s="92">
        <v>1</v>
      </c>
      <c r="AG105" s="92">
        <v>1</v>
      </c>
      <c r="AH105" s="92">
        <v>1</v>
      </c>
      <c r="AI105" s="92">
        <v>1</v>
      </c>
      <c r="AK105" s="20">
        <f t="shared" si="66"/>
        <v>157680</v>
      </c>
      <c r="AL105" s="20">
        <f t="shared" si="38"/>
        <v>90103</v>
      </c>
      <c r="AM105" s="20">
        <f t="shared" si="39"/>
        <v>22526</v>
      </c>
      <c r="AN105" s="20">
        <f t="shared" si="40"/>
        <v>45051</v>
      </c>
      <c r="AO105" s="20">
        <f t="shared" si="41"/>
        <v>45051</v>
      </c>
      <c r="AP105" s="20">
        <f t="shared" si="42"/>
        <v>45051</v>
      </c>
      <c r="AQ105" s="20">
        <f t="shared" si="43"/>
        <v>45051</v>
      </c>
      <c r="AR105" s="20">
        <f t="shared" si="44"/>
        <v>45051</v>
      </c>
      <c r="AS105" s="20">
        <f t="shared" si="45"/>
        <v>45051</v>
      </c>
      <c r="AT105" s="20">
        <f t="shared" si="46"/>
        <v>45051</v>
      </c>
      <c r="AU105" s="20">
        <f t="shared" si="47"/>
        <v>45051</v>
      </c>
      <c r="AV105" s="20">
        <f t="shared" si="48"/>
        <v>22526</v>
      </c>
      <c r="AW105" s="20">
        <f t="shared" si="49"/>
        <v>22526</v>
      </c>
      <c r="AX105" s="20">
        <f t="shared" si="50"/>
        <v>22526</v>
      </c>
      <c r="AY105" s="20">
        <f t="shared" si="51"/>
        <v>22526</v>
      </c>
      <c r="AZ105" s="20">
        <f t="shared" si="52"/>
        <v>22526</v>
      </c>
      <c r="BA105" s="20">
        <f t="shared" si="53"/>
        <v>22526</v>
      </c>
      <c r="BB105" s="20">
        <f t="shared" si="54"/>
        <v>45051</v>
      </c>
      <c r="BC105" s="20">
        <f t="shared" si="55"/>
        <v>22526</v>
      </c>
      <c r="BD105" s="20">
        <f t="shared" si="56"/>
        <v>22526</v>
      </c>
      <c r="BE105" s="20">
        <f t="shared" si="57"/>
        <v>22526</v>
      </c>
      <c r="BF105" s="20">
        <f t="shared" si="58"/>
        <v>22526</v>
      </c>
      <c r="BG105" s="20">
        <f t="shared" si="59"/>
        <v>22526</v>
      </c>
      <c r="BH105" s="20">
        <f t="shared" si="60"/>
        <v>22526</v>
      </c>
      <c r="BI105" s="20">
        <f t="shared" si="61"/>
        <v>22526</v>
      </c>
      <c r="BJ105" s="36" t="s">
        <v>936</v>
      </c>
      <c r="BK105" s="17" t="s">
        <v>624</v>
      </c>
      <c r="BL105" s="36" t="s">
        <v>625</v>
      </c>
      <c r="BM105" s="41">
        <f t="shared" si="62"/>
        <v>968606</v>
      </c>
      <c r="BN105" s="37">
        <f t="shared" si="67"/>
        <v>865598</v>
      </c>
    </row>
    <row r="106" spans="1:70" ht="34.5" customHeight="1">
      <c r="A106" s="8" t="s">
        <v>624</v>
      </c>
      <c r="B106" s="36" t="s">
        <v>625</v>
      </c>
      <c r="C106" s="60">
        <v>291</v>
      </c>
      <c r="D106" s="29" t="s">
        <v>628</v>
      </c>
      <c r="E106" s="39">
        <v>4520.226928183557</v>
      </c>
      <c r="F106" s="19">
        <f t="shared" si="68"/>
        <v>452.02269281835572</v>
      </c>
      <c r="G106" s="19">
        <f t="shared" si="69"/>
        <v>85.884311635487592</v>
      </c>
      <c r="H106" s="19">
        <f t="shared" si="70"/>
        <v>5058.1339326374</v>
      </c>
      <c r="J106" s="8">
        <f t="shared" si="36"/>
        <v>37</v>
      </c>
      <c r="K106" s="92">
        <v>12</v>
      </c>
      <c r="L106" s="92">
        <v>2</v>
      </c>
      <c r="M106" s="92">
        <v>1</v>
      </c>
      <c r="N106" s="92">
        <v>1</v>
      </c>
      <c r="O106" s="92">
        <v>1</v>
      </c>
      <c r="P106" s="92">
        <v>1</v>
      </c>
      <c r="Q106" s="92">
        <v>1</v>
      </c>
      <c r="R106" s="92">
        <v>1</v>
      </c>
      <c r="S106" s="92">
        <v>1</v>
      </c>
      <c r="T106" s="92">
        <v>1</v>
      </c>
      <c r="U106" s="92">
        <v>1</v>
      </c>
      <c r="V106" s="92">
        <v>1</v>
      </c>
      <c r="W106" s="92">
        <v>1</v>
      </c>
      <c r="X106" s="92">
        <v>1</v>
      </c>
      <c r="Y106" s="92">
        <v>1</v>
      </c>
      <c r="Z106" s="92">
        <v>1</v>
      </c>
      <c r="AA106" s="92">
        <v>1</v>
      </c>
      <c r="AB106" s="92">
        <v>1</v>
      </c>
      <c r="AC106" s="92">
        <v>1</v>
      </c>
      <c r="AD106" s="92">
        <v>1</v>
      </c>
      <c r="AE106" s="92">
        <v>1</v>
      </c>
      <c r="AF106" s="92">
        <v>1</v>
      </c>
      <c r="AG106" s="92">
        <v>1</v>
      </c>
      <c r="AH106" s="92">
        <v>1</v>
      </c>
      <c r="AI106" s="92">
        <v>1</v>
      </c>
      <c r="AK106" s="20">
        <f t="shared" si="66"/>
        <v>60698</v>
      </c>
      <c r="AL106" s="20">
        <f t="shared" si="38"/>
        <v>10116</v>
      </c>
      <c r="AM106" s="20">
        <f t="shared" si="39"/>
        <v>5058</v>
      </c>
      <c r="AN106" s="20">
        <f t="shared" si="40"/>
        <v>5058</v>
      </c>
      <c r="AO106" s="20">
        <f t="shared" si="41"/>
        <v>5058</v>
      </c>
      <c r="AP106" s="20">
        <f t="shared" si="42"/>
        <v>5058</v>
      </c>
      <c r="AQ106" s="20">
        <f t="shared" si="43"/>
        <v>5058</v>
      </c>
      <c r="AR106" s="20">
        <f t="shared" si="44"/>
        <v>5058</v>
      </c>
      <c r="AS106" s="20">
        <f t="shared" si="45"/>
        <v>5058</v>
      </c>
      <c r="AT106" s="20">
        <f t="shared" si="46"/>
        <v>5058</v>
      </c>
      <c r="AU106" s="20">
        <f t="shared" si="47"/>
        <v>5058</v>
      </c>
      <c r="AV106" s="20">
        <f t="shared" si="48"/>
        <v>5058</v>
      </c>
      <c r="AW106" s="20">
        <f t="shared" si="49"/>
        <v>5058</v>
      </c>
      <c r="AX106" s="20">
        <f t="shared" si="50"/>
        <v>5058</v>
      </c>
      <c r="AY106" s="20">
        <f t="shared" si="51"/>
        <v>5058</v>
      </c>
      <c r="AZ106" s="20">
        <f t="shared" si="52"/>
        <v>5058</v>
      </c>
      <c r="BA106" s="20">
        <f t="shared" si="53"/>
        <v>5058</v>
      </c>
      <c r="BB106" s="20">
        <f t="shared" si="54"/>
        <v>5058</v>
      </c>
      <c r="BC106" s="20">
        <f t="shared" si="55"/>
        <v>5058</v>
      </c>
      <c r="BD106" s="20">
        <f t="shared" si="56"/>
        <v>5058</v>
      </c>
      <c r="BE106" s="20">
        <f t="shared" si="57"/>
        <v>5058</v>
      </c>
      <c r="BF106" s="20">
        <f t="shared" si="58"/>
        <v>5058</v>
      </c>
      <c r="BG106" s="20">
        <f t="shared" si="59"/>
        <v>5058</v>
      </c>
      <c r="BH106" s="20">
        <f t="shared" si="60"/>
        <v>5058</v>
      </c>
      <c r="BI106" s="20">
        <f t="shared" si="61"/>
        <v>5058</v>
      </c>
      <c r="BJ106" s="36" t="s">
        <v>936</v>
      </c>
      <c r="BK106" s="17" t="s">
        <v>624</v>
      </c>
      <c r="BL106" s="36" t="s">
        <v>625</v>
      </c>
      <c r="BM106" s="41">
        <f t="shared" si="62"/>
        <v>187148</v>
      </c>
      <c r="BN106" s="37">
        <f t="shared" si="67"/>
        <v>167248</v>
      </c>
    </row>
    <row r="107" spans="1:70" ht="34.5" customHeight="1">
      <c r="A107" s="8" t="s">
        <v>624</v>
      </c>
      <c r="B107" s="36" t="s">
        <v>625</v>
      </c>
      <c r="C107" s="60">
        <v>297</v>
      </c>
      <c r="D107" s="29" t="s">
        <v>629</v>
      </c>
      <c r="E107" s="39">
        <v>7473.0269169556732</v>
      </c>
      <c r="F107" s="19">
        <f t="shared" si="68"/>
        <v>747.30269169556732</v>
      </c>
      <c r="G107" s="19">
        <f t="shared" si="69"/>
        <v>141.98751142215778</v>
      </c>
      <c r="H107" s="19">
        <f t="shared" si="70"/>
        <v>8362.3171200733977</v>
      </c>
      <c r="J107" s="8">
        <f t="shared" si="36"/>
        <v>8</v>
      </c>
      <c r="K107" s="92">
        <v>3</v>
      </c>
      <c r="L107" s="92">
        <v>2</v>
      </c>
      <c r="M107" s="92">
        <v>1</v>
      </c>
      <c r="N107" s="92"/>
      <c r="O107" s="92"/>
      <c r="P107" s="92"/>
      <c r="Q107" s="92"/>
      <c r="R107" s="92"/>
      <c r="S107" s="92"/>
      <c r="T107" s="92"/>
      <c r="U107" s="92"/>
      <c r="V107" s="92"/>
      <c r="W107" s="92"/>
      <c r="X107" s="92"/>
      <c r="Y107" s="92"/>
      <c r="Z107" s="92"/>
      <c r="AA107" s="92"/>
      <c r="AB107" s="92">
        <v>1</v>
      </c>
      <c r="AC107" s="92"/>
      <c r="AD107" s="92">
        <v>1</v>
      </c>
      <c r="AE107" s="92"/>
      <c r="AF107" s="92"/>
      <c r="AG107" s="92"/>
      <c r="AH107" s="92"/>
      <c r="AI107" s="92"/>
      <c r="AK107" s="20">
        <f t="shared" si="66"/>
        <v>25087</v>
      </c>
      <c r="AL107" s="20">
        <f t="shared" si="38"/>
        <v>16725</v>
      </c>
      <c r="AM107" s="20">
        <f t="shared" si="39"/>
        <v>8362</v>
      </c>
      <c r="AN107" s="20">
        <f t="shared" si="40"/>
        <v>0</v>
      </c>
      <c r="AO107" s="20">
        <f t="shared" si="41"/>
        <v>0</v>
      </c>
      <c r="AP107" s="20">
        <f t="shared" si="42"/>
        <v>0</v>
      </c>
      <c r="AQ107" s="20">
        <f t="shared" si="43"/>
        <v>0</v>
      </c>
      <c r="AR107" s="20">
        <f t="shared" si="44"/>
        <v>0</v>
      </c>
      <c r="AS107" s="20">
        <f t="shared" si="45"/>
        <v>0</v>
      </c>
      <c r="AT107" s="20">
        <f t="shared" si="46"/>
        <v>0</v>
      </c>
      <c r="AU107" s="20">
        <f t="shared" si="47"/>
        <v>0</v>
      </c>
      <c r="AV107" s="20">
        <f t="shared" si="48"/>
        <v>0</v>
      </c>
      <c r="AW107" s="20">
        <f t="shared" si="49"/>
        <v>0</v>
      </c>
      <c r="AX107" s="20">
        <f t="shared" si="50"/>
        <v>0</v>
      </c>
      <c r="AY107" s="20">
        <f t="shared" si="51"/>
        <v>0</v>
      </c>
      <c r="AZ107" s="20">
        <f t="shared" si="52"/>
        <v>0</v>
      </c>
      <c r="BA107" s="20">
        <f t="shared" si="53"/>
        <v>0</v>
      </c>
      <c r="BB107" s="20">
        <f t="shared" si="54"/>
        <v>8362</v>
      </c>
      <c r="BC107" s="20">
        <f t="shared" si="55"/>
        <v>0</v>
      </c>
      <c r="BD107" s="20">
        <f t="shared" si="56"/>
        <v>8362</v>
      </c>
      <c r="BE107" s="20">
        <f t="shared" si="57"/>
        <v>0</v>
      </c>
      <c r="BF107" s="20">
        <f t="shared" si="58"/>
        <v>0</v>
      </c>
      <c r="BG107" s="20">
        <f t="shared" si="59"/>
        <v>0</v>
      </c>
      <c r="BH107" s="20">
        <f t="shared" si="60"/>
        <v>0</v>
      </c>
      <c r="BI107" s="20">
        <f t="shared" si="61"/>
        <v>0</v>
      </c>
      <c r="BJ107" s="36" t="s">
        <v>936</v>
      </c>
      <c r="BK107" s="17" t="s">
        <v>624</v>
      </c>
      <c r="BL107" s="36" t="s">
        <v>625</v>
      </c>
      <c r="BM107" s="41">
        <f t="shared" si="62"/>
        <v>66898</v>
      </c>
      <c r="BN107" s="37">
        <f t="shared" si="67"/>
        <v>59784</v>
      </c>
    </row>
    <row r="108" spans="1:70" ht="34.5" customHeight="1">
      <c r="A108" s="8" t="s">
        <v>624</v>
      </c>
      <c r="B108" s="36" t="s">
        <v>625</v>
      </c>
      <c r="C108" s="60">
        <v>301</v>
      </c>
      <c r="D108" s="29" t="s">
        <v>630</v>
      </c>
      <c r="E108" s="39">
        <v>2974.2730117011806</v>
      </c>
      <c r="F108" s="19">
        <f t="shared" si="68"/>
        <v>297.42730117011808</v>
      </c>
      <c r="G108" s="19">
        <f t="shared" si="69"/>
        <v>56.511187222322434</v>
      </c>
      <c r="H108" s="19">
        <f t="shared" si="70"/>
        <v>3328.211500093621</v>
      </c>
      <c r="J108" s="8">
        <f t="shared" si="36"/>
        <v>2</v>
      </c>
      <c r="K108" s="92">
        <v>2</v>
      </c>
      <c r="L108" s="92"/>
      <c r="M108" s="92"/>
      <c r="N108" s="92"/>
      <c r="O108" s="92"/>
      <c r="P108" s="92"/>
      <c r="Q108" s="92"/>
      <c r="R108" s="92"/>
      <c r="S108" s="92"/>
      <c r="T108" s="92"/>
      <c r="U108" s="92"/>
      <c r="V108" s="92"/>
      <c r="W108" s="92"/>
      <c r="X108" s="92"/>
      <c r="Y108" s="92"/>
      <c r="Z108" s="92"/>
      <c r="AA108" s="92"/>
      <c r="AB108" s="92"/>
      <c r="AC108" s="92"/>
      <c r="AD108" s="92"/>
      <c r="AE108" s="92"/>
      <c r="AF108" s="92"/>
      <c r="AG108" s="92"/>
      <c r="AH108" s="92"/>
      <c r="AI108" s="92"/>
      <c r="AK108" s="20">
        <f t="shared" si="66"/>
        <v>6656</v>
      </c>
      <c r="AL108" s="20">
        <f t="shared" si="38"/>
        <v>0</v>
      </c>
      <c r="AM108" s="20">
        <f t="shared" si="39"/>
        <v>0</v>
      </c>
      <c r="AN108" s="20">
        <f t="shared" si="40"/>
        <v>0</v>
      </c>
      <c r="AO108" s="20">
        <f t="shared" si="41"/>
        <v>0</v>
      </c>
      <c r="AP108" s="20">
        <f t="shared" si="42"/>
        <v>0</v>
      </c>
      <c r="AQ108" s="20">
        <f t="shared" si="43"/>
        <v>0</v>
      </c>
      <c r="AR108" s="20">
        <f t="shared" si="44"/>
        <v>0</v>
      </c>
      <c r="AS108" s="20">
        <f t="shared" si="45"/>
        <v>0</v>
      </c>
      <c r="AT108" s="20">
        <f t="shared" si="46"/>
        <v>0</v>
      </c>
      <c r="AU108" s="20">
        <f t="shared" si="47"/>
        <v>0</v>
      </c>
      <c r="AV108" s="20">
        <f t="shared" si="48"/>
        <v>0</v>
      </c>
      <c r="AW108" s="20">
        <f t="shared" si="49"/>
        <v>0</v>
      </c>
      <c r="AX108" s="20">
        <f t="shared" si="50"/>
        <v>0</v>
      </c>
      <c r="AY108" s="20">
        <f t="shared" si="51"/>
        <v>0</v>
      </c>
      <c r="AZ108" s="20">
        <f t="shared" si="52"/>
        <v>0</v>
      </c>
      <c r="BA108" s="20">
        <f t="shared" si="53"/>
        <v>0</v>
      </c>
      <c r="BB108" s="20">
        <f t="shared" si="54"/>
        <v>0</v>
      </c>
      <c r="BC108" s="20">
        <f t="shared" si="55"/>
        <v>0</v>
      </c>
      <c r="BD108" s="20">
        <f t="shared" si="56"/>
        <v>0</v>
      </c>
      <c r="BE108" s="20">
        <f t="shared" si="57"/>
        <v>0</v>
      </c>
      <c r="BF108" s="20">
        <f t="shared" si="58"/>
        <v>0</v>
      </c>
      <c r="BG108" s="20">
        <f t="shared" si="59"/>
        <v>0</v>
      </c>
      <c r="BH108" s="20">
        <f t="shared" si="60"/>
        <v>0</v>
      </c>
      <c r="BI108" s="20">
        <f t="shared" si="61"/>
        <v>0</v>
      </c>
      <c r="BJ108" s="36" t="s">
        <v>936</v>
      </c>
      <c r="BK108" s="17" t="s">
        <v>624</v>
      </c>
      <c r="BL108" s="36" t="s">
        <v>625</v>
      </c>
      <c r="BM108" s="41">
        <f t="shared" si="62"/>
        <v>6656</v>
      </c>
      <c r="BN108" s="37">
        <f t="shared" si="67"/>
        <v>5949</v>
      </c>
    </row>
    <row r="109" spans="1:70" ht="34.5" customHeight="1">
      <c r="A109" s="8" t="s">
        <v>624</v>
      </c>
      <c r="B109" s="36" t="s">
        <v>625</v>
      </c>
      <c r="C109" s="60">
        <v>303</v>
      </c>
      <c r="D109" s="29" t="s">
        <v>631</v>
      </c>
      <c r="E109" s="39">
        <v>8334.437459965111</v>
      </c>
      <c r="F109" s="19">
        <f t="shared" si="68"/>
        <v>833.4437459965111</v>
      </c>
      <c r="G109" s="19">
        <f t="shared" si="69"/>
        <v>158.35431173933711</v>
      </c>
      <c r="H109" s="19">
        <f t="shared" si="70"/>
        <v>9326.2355177009576</v>
      </c>
      <c r="J109" s="8">
        <f t="shared" si="36"/>
        <v>1</v>
      </c>
      <c r="K109" s="92">
        <v>1</v>
      </c>
      <c r="L109" s="92"/>
      <c r="M109" s="92"/>
      <c r="N109" s="92"/>
      <c r="O109" s="92"/>
      <c r="P109" s="92"/>
      <c r="Q109" s="92"/>
      <c r="R109" s="92"/>
      <c r="S109" s="92"/>
      <c r="T109" s="92"/>
      <c r="U109" s="92"/>
      <c r="V109" s="92"/>
      <c r="W109" s="92"/>
      <c r="X109" s="92"/>
      <c r="Y109" s="92"/>
      <c r="Z109" s="92"/>
      <c r="AA109" s="92"/>
      <c r="AB109" s="92"/>
      <c r="AC109" s="92"/>
      <c r="AD109" s="92"/>
      <c r="AE109" s="92"/>
      <c r="AF109" s="92"/>
      <c r="AG109" s="92"/>
      <c r="AH109" s="92"/>
      <c r="AI109" s="92"/>
      <c r="AK109" s="20">
        <f t="shared" si="66"/>
        <v>9326</v>
      </c>
      <c r="AL109" s="20">
        <f t="shared" si="38"/>
        <v>0</v>
      </c>
      <c r="AM109" s="20">
        <f t="shared" si="39"/>
        <v>0</v>
      </c>
      <c r="AN109" s="20">
        <f t="shared" si="40"/>
        <v>0</v>
      </c>
      <c r="AO109" s="20">
        <f t="shared" si="41"/>
        <v>0</v>
      </c>
      <c r="AP109" s="20">
        <f t="shared" si="42"/>
        <v>0</v>
      </c>
      <c r="AQ109" s="20">
        <f t="shared" si="43"/>
        <v>0</v>
      </c>
      <c r="AR109" s="20">
        <f t="shared" si="44"/>
        <v>0</v>
      </c>
      <c r="AS109" s="20">
        <f t="shared" si="45"/>
        <v>0</v>
      </c>
      <c r="AT109" s="20">
        <f t="shared" si="46"/>
        <v>0</v>
      </c>
      <c r="AU109" s="20">
        <f t="shared" si="47"/>
        <v>0</v>
      </c>
      <c r="AV109" s="20">
        <f t="shared" si="48"/>
        <v>0</v>
      </c>
      <c r="AW109" s="20">
        <f t="shared" si="49"/>
        <v>0</v>
      </c>
      <c r="AX109" s="20">
        <f t="shared" si="50"/>
        <v>0</v>
      </c>
      <c r="AY109" s="20">
        <f t="shared" si="51"/>
        <v>0</v>
      </c>
      <c r="AZ109" s="20">
        <f t="shared" si="52"/>
        <v>0</v>
      </c>
      <c r="BA109" s="20">
        <f t="shared" si="53"/>
        <v>0</v>
      </c>
      <c r="BB109" s="20">
        <f t="shared" si="54"/>
        <v>0</v>
      </c>
      <c r="BC109" s="20">
        <f t="shared" si="55"/>
        <v>0</v>
      </c>
      <c r="BD109" s="20">
        <f t="shared" si="56"/>
        <v>0</v>
      </c>
      <c r="BE109" s="20">
        <f t="shared" si="57"/>
        <v>0</v>
      </c>
      <c r="BF109" s="20">
        <f t="shared" si="58"/>
        <v>0</v>
      </c>
      <c r="BG109" s="20">
        <f t="shared" si="59"/>
        <v>0</v>
      </c>
      <c r="BH109" s="20">
        <f t="shared" si="60"/>
        <v>0</v>
      </c>
      <c r="BI109" s="20">
        <f t="shared" si="61"/>
        <v>0</v>
      </c>
      <c r="BJ109" s="36" t="s">
        <v>936</v>
      </c>
      <c r="BK109" s="17" t="s">
        <v>624</v>
      </c>
      <c r="BL109" s="36" t="s">
        <v>625</v>
      </c>
      <c r="BM109" s="41">
        <f t="shared" si="62"/>
        <v>9326</v>
      </c>
      <c r="BN109" s="37">
        <f t="shared" si="67"/>
        <v>8334</v>
      </c>
    </row>
    <row r="110" spans="1:70" ht="34.5" customHeight="1">
      <c r="A110" s="34" t="s">
        <v>605</v>
      </c>
      <c r="B110" s="18" t="s">
        <v>606</v>
      </c>
      <c r="C110" s="60">
        <v>338</v>
      </c>
      <c r="D110" s="29" t="s">
        <v>632</v>
      </c>
      <c r="E110" s="39">
        <v>15480.5</v>
      </c>
      <c r="F110" s="19">
        <f t="shared" si="68"/>
        <v>1548.0500000000002</v>
      </c>
      <c r="G110" s="19">
        <f t="shared" si="69"/>
        <v>294.12950000000006</v>
      </c>
      <c r="H110" s="19">
        <f t="shared" si="70"/>
        <v>17322.679499999998</v>
      </c>
      <c r="J110" s="8">
        <f t="shared" si="36"/>
        <v>0</v>
      </c>
      <c r="K110" s="5"/>
      <c r="L110" s="8"/>
      <c r="M110" s="8"/>
      <c r="N110" s="8"/>
      <c r="O110" s="8"/>
      <c r="P110" s="8"/>
      <c r="Q110" s="8"/>
      <c r="R110" s="8"/>
      <c r="S110" s="8"/>
      <c r="T110" s="8"/>
      <c r="U110" s="8"/>
      <c r="V110" s="8"/>
      <c r="W110" s="8"/>
      <c r="X110" s="8"/>
      <c r="Y110" s="8"/>
      <c r="Z110" s="8"/>
      <c r="AA110" s="8"/>
      <c r="AB110" s="8"/>
      <c r="AC110" s="8"/>
      <c r="AD110" s="8"/>
      <c r="AE110" s="8"/>
      <c r="AF110" s="8"/>
      <c r="AG110" s="8"/>
      <c r="AH110" s="8"/>
      <c r="AI110" s="8"/>
      <c r="AK110" s="20">
        <f t="shared" si="66"/>
        <v>0</v>
      </c>
      <c r="AL110" s="20">
        <f t="shared" si="38"/>
        <v>0</v>
      </c>
      <c r="AM110" s="20">
        <f t="shared" si="39"/>
        <v>0</v>
      </c>
      <c r="AN110" s="20">
        <f t="shared" si="40"/>
        <v>0</v>
      </c>
      <c r="AO110" s="20">
        <f t="shared" si="41"/>
        <v>0</v>
      </c>
      <c r="AP110" s="20">
        <f t="shared" si="42"/>
        <v>0</v>
      </c>
      <c r="AQ110" s="20">
        <f t="shared" si="43"/>
        <v>0</v>
      </c>
      <c r="AR110" s="20">
        <f t="shared" si="44"/>
        <v>0</v>
      </c>
      <c r="AS110" s="20">
        <f t="shared" si="45"/>
        <v>0</v>
      </c>
      <c r="AT110" s="20">
        <f t="shared" si="46"/>
        <v>0</v>
      </c>
      <c r="AU110" s="20">
        <f t="shared" si="47"/>
        <v>0</v>
      </c>
      <c r="AV110" s="20">
        <f t="shared" si="48"/>
        <v>0</v>
      </c>
      <c r="AW110" s="20">
        <f t="shared" si="49"/>
        <v>0</v>
      </c>
      <c r="AX110" s="20">
        <f t="shared" si="50"/>
        <v>0</v>
      </c>
      <c r="AY110" s="20">
        <f t="shared" si="51"/>
        <v>0</v>
      </c>
      <c r="AZ110" s="20">
        <f t="shared" si="52"/>
        <v>0</v>
      </c>
      <c r="BA110" s="20">
        <f t="shared" si="53"/>
        <v>0</v>
      </c>
      <c r="BB110" s="20">
        <f t="shared" si="54"/>
        <v>0</v>
      </c>
      <c r="BC110" s="20">
        <f t="shared" si="55"/>
        <v>0</v>
      </c>
      <c r="BD110" s="20">
        <f t="shared" si="56"/>
        <v>0</v>
      </c>
      <c r="BE110" s="20">
        <f t="shared" si="57"/>
        <v>0</v>
      </c>
      <c r="BF110" s="20">
        <f t="shared" si="58"/>
        <v>0</v>
      </c>
      <c r="BG110" s="20">
        <f t="shared" si="59"/>
        <v>0</v>
      </c>
      <c r="BH110" s="20">
        <f t="shared" si="60"/>
        <v>0</v>
      </c>
      <c r="BI110" s="20">
        <f t="shared" si="61"/>
        <v>0</v>
      </c>
      <c r="BJ110" s="18" t="s">
        <v>932</v>
      </c>
      <c r="BK110" s="35" t="s">
        <v>605</v>
      </c>
      <c r="BL110" s="18" t="s">
        <v>606</v>
      </c>
      <c r="BM110" s="41">
        <f t="shared" si="62"/>
        <v>0</v>
      </c>
      <c r="BN110" s="37">
        <f t="shared" si="67"/>
        <v>0</v>
      </c>
    </row>
    <row r="111" spans="1:70" ht="34.5" customHeight="1">
      <c r="A111" s="34" t="s">
        <v>605</v>
      </c>
      <c r="B111" s="18" t="s">
        <v>606</v>
      </c>
      <c r="C111" s="60">
        <v>339</v>
      </c>
      <c r="D111" s="29" t="s">
        <v>633</v>
      </c>
      <c r="E111" s="39">
        <v>14638.17</v>
      </c>
      <c r="F111" s="19">
        <f t="shared" si="68"/>
        <v>1463.817</v>
      </c>
      <c r="G111" s="19">
        <f t="shared" si="69"/>
        <v>278.12522999999999</v>
      </c>
      <c r="H111" s="19">
        <f t="shared" si="70"/>
        <v>16380.112230000001</v>
      </c>
      <c r="J111" s="8">
        <f t="shared" si="36"/>
        <v>0</v>
      </c>
      <c r="K111" s="5"/>
      <c r="L111" s="8"/>
      <c r="M111" s="8"/>
      <c r="N111" s="8"/>
      <c r="O111" s="8"/>
      <c r="P111" s="8"/>
      <c r="Q111" s="8"/>
      <c r="R111" s="8"/>
      <c r="S111" s="8"/>
      <c r="T111" s="8"/>
      <c r="U111" s="8"/>
      <c r="V111" s="8"/>
      <c r="W111" s="8"/>
      <c r="X111" s="8"/>
      <c r="Y111" s="8"/>
      <c r="Z111" s="8"/>
      <c r="AA111" s="8"/>
      <c r="AB111" s="8"/>
      <c r="AC111" s="8"/>
      <c r="AD111" s="8"/>
      <c r="AE111" s="8"/>
      <c r="AF111" s="8"/>
      <c r="AG111" s="8"/>
      <c r="AH111" s="8"/>
      <c r="AI111" s="8"/>
      <c r="AK111" s="20">
        <f t="shared" si="66"/>
        <v>0</v>
      </c>
      <c r="AL111" s="20">
        <f t="shared" si="38"/>
        <v>0</v>
      </c>
      <c r="AM111" s="20">
        <f t="shared" si="39"/>
        <v>0</v>
      </c>
      <c r="AN111" s="20">
        <f t="shared" si="40"/>
        <v>0</v>
      </c>
      <c r="AO111" s="20">
        <f t="shared" si="41"/>
        <v>0</v>
      </c>
      <c r="AP111" s="20">
        <f t="shared" si="42"/>
        <v>0</v>
      </c>
      <c r="AQ111" s="20">
        <f t="shared" si="43"/>
        <v>0</v>
      </c>
      <c r="AR111" s="20">
        <f t="shared" si="44"/>
        <v>0</v>
      </c>
      <c r="AS111" s="20">
        <f t="shared" si="45"/>
        <v>0</v>
      </c>
      <c r="AT111" s="20">
        <f t="shared" si="46"/>
        <v>0</v>
      </c>
      <c r="AU111" s="20">
        <f t="shared" si="47"/>
        <v>0</v>
      </c>
      <c r="AV111" s="20">
        <f t="shared" si="48"/>
        <v>0</v>
      </c>
      <c r="AW111" s="20">
        <f t="shared" si="49"/>
        <v>0</v>
      </c>
      <c r="AX111" s="20">
        <f t="shared" si="50"/>
        <v>0</v>
      </c>
      <c r="AY111" s="20">
        <f t="shared" si="51"/>
        <v>0</v>
      </c>
      <c r="AZ111" s="20">
        <f t="shared" si="52"/>
        <v>0</v>
      </c>
      <c r="BA111" s="20">
        <f t="shared" si="53"/>
        <v>0</v>
      </c>
      <c r="BB111" s="20">
        <f t="shared" si="54"/>
        <v>0</v>
      </c>
      <c r="BC111" s="20">
        <f t="shared" si="55"/>
        <v>0</v>
      </c>
      <c r="BD111" s="20">
        <f t="shared" si="56"/>
        <v>0</v>
      </c>
      <c r="BE111" s="20">
        <f t="shared" si="57"/>
        <v>0</v>
      </c>
      <c r="BF111" s="20">
        <f t="shared" si="58"/>
        <v>0</v>
      </c>
      <c r="BG111" s="20">
        <f t="shared" si="59"/>
        <v>0</v>
      </c>
      <c r="BH111" s="20">
        <f t="shared" si="60"/>
        <v>0</v>
      </c>
      <c r="BI111" s="20">
        <f t="shared" si="61"/>
        <v>0</v>
      </c>
      <c r="BJ111" s="18" t="s">
        <v>932</v>
      </c>
      <c r="BK111" s="35" t="s">
        <v>605</v>
      </c>
      <c r="BL111" s="18" t="s">
        <v>606</v>
      </c>
      <c r="BM111" s="41">
        <f t="shared" si="62"/>
        <v>0</v>
      </c>
      <c r="BN111" s="37">
        <f t="shared" si="67"/>
        <v>0</v>
      </c>
    </row>
    <row r="112" spans="1:70" ht="34.5" customHeight="1">
      <c r="A112" s="34" t="s">
        <v>605</v>
      </c>
      <c r="B112" s="18" t="s">
        <v>606</v>
      </c>
      <c r="C112" s="60">
        <v>340</v>
      </c>
      <c r="D112" s="29" t="s">
        <v>634</v>
      </c>
      <c r="E112" s="39">
        <v>30112.03</v>
      </c>
      <c r="F112" s="19">
        <f t="shared" si="68"/>
        <v>3011.203</v>
      </c>
      <c r="G112" s="19">
        <f t="shared" si="69"/>
        <v>572.12856999999997</v>
      </c>
      <c r="H112" s="19">
        <f t="shared" si="70"/>
        <v>33695.361570000001</v>
      </c>
      <c r="J112" s="8">
        <f t="shared" si="36"/>
        <v>0</v>
      </c>
      <c r="K112" s="5"/>
      <c r="L112" s="8"/>
      <c r="M112" s="8"/>
      <c r="N112" s="8"/>
      <c r="O112" s="8"/>
      <c r="P112" s="8"/>
      <c r="Q112" s="8"/>
      <c r="R112" s="8"/>
      <c r="S112" s="8"/>
      <c r="T112" s="8"/>
      <c r="U112" s="8"/>
      <c r="V112" s="8"/>
      <c r="W112" s="8"/>
      <c r="X112" s="8"/>
      <c r="Y112" s="8"/>
      <c r="Z112" s="8"/>
      <c r="AA112" s="8"/>
      <c r="AB112" s="8"/>
      <c r="AC112" s="8"/>
      <c r="AD112" s="8"/>
      <c r="AE112" s="8"/>
      <c r="AF112" s="8"/>
      <c r="AG112" s="8"/>
      <c r="AH112" s="8"/>
      <c r="AI112" s="8"/>
      <c r="AK112" s="20">
        <f t="shared" si="66"/>
        <v>0</v>
      </c>
      <c r="AL112" s="20">
        <f t="shared" si="38"/>
        <v>0</v>
      </c>
      <c r="AM112" s="20">
        <f t="shared" si="39"/>
        <v>0</v>
      </c>
      <c r="AN112" s="20">
        <f t="shared" si="40"/>
        <v>0</v>
      </c>
      <c r="AO112" s="20">
        <f t="shared" si="41"/>
        <v>0</v>
      </c>
      <c r="AP112" s="20">
        <f t="shared" si="42"/>
        <v>0</v>
      </c>
      <c r="AQ112" s="20">
        <f t="shared" si="43"/>
        <v>0</v>
      </c>
      <c r="AR112" s="20">
        <f t="shared" si="44"/>
        <v>0</v>
      </c>
      <c r="AS112" s="20">
        <f t="shared" si="45"/>
        <v>0</v>
      </c>
      <c r="AT112" s="20">
        <f t="shared" si="46"/>
        <v>0</v>
      </c>
      <c r="AU112" s="20">
        <f t="shared" si="47"/>
        <v>0</v>
      </c>
      <c r="AV112" s="20">
        <f t="shared" si="48"/>
        <v>0</v>
      </c>
      <c r="AW112" s="20">
        <f t="shared" si="49"/>
        <v>0</v>
      </c>
      <c r="AX112" s="20">
        <f t="shared" si="50"/>
        <v>0</v>
      </c>
      <c r="AY112" s="20">
        <f t="shared" si="51"/>
        <v>0</v>
      </c>
      <c r="AZ112" s="20">
        <f t="shared" si="52"/>
        <v>0</v>
      </c>
      <c r="BA112" s="20">
        <f t="shared" si="53"/>
        <v>0</v>
      </c>
      <c r="BB112" s="20">
        <f t="shared" si="54"/>
        <v>0</v>
      </c>
      <c r="BC112" s="20">
        <f t="shared" si="55"/>
        <v>0</v>
      </c>
      <c r="BD112" s="20">
        <f t="shared" si="56"/>
        <v>0</v>
      </c>
      <c r="BE112" s="20">
        <f t="shared" si="57"/>
        <v>0</v>
      </c>
      <c r="BF112" s="20">
        <f t="shared" si="58"/>
        <v>0</v>
      </c>
      <c r="BG112" s="20">
        <f t="shared" si="59"/>
        <v>0</v>
      </c>
      <c r="BH112" s="20">
        <f t="shared" si="60"/>
        <v>0</v>
      </c>
      <c r="BI112" s="20">
        <f t="shared" si="61"/>
        <v>0</v>
      </c>
      <c r="BJ112" s="18" t="s">
        <v>932</v>
      </c>
      <c r="BK112" s="35" t="s">
        <v>605</v>
      </c>
      <c r="BL112" s="18" t="s">
        <v>606</v>
      </c>
      <c r="BM112" s="41">
        <f t="shared" si="62"/>
        <v>0</v>
      </c>
      <c r="BN112" s="37">
        <f t="shared" si="67"/>
        <v>0</v>
      </c>
    </row>
    <row r="113" spans="1:66" ht="34.5" customHeight="1">
      <c r="A113" s="34" t="s">
        <v>605</v>
      </c>
      <c r="B113" s="18" t="s">
        <v>606</v>
      </c>
      <c r="C113" s="60">
        <v>349</v>
      </c>
      <c r="D113" s="29" t="s">
        <v>635</v>
      </c>
      <c r="E113" s="39">
        <v>888.79642732476691</v>
      </c>
      <c r="F113" s="19">
        <f t="shared" si="68"/>
        <v>88.879642732476697</v>
      </c>
      <c r="G113" s="19">
        <f t="shared" si="69"/>
        <v>16.887132119170573</v>
      </c>
      <c r="H113" s="19">
        <f t="shared" si="70"/>
        <v>994.56320217641417</v>
      </c>
      <c r="J113" s="8">
        <f t="shared" si="36"/>
        <v>0</v>
      </c>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K113" s="20">
        <f t="shared" si="66"/>
        <v>0</v>
      </c>
      <c r="AL113" s="20">
        <f t="shared" si="38"/>
        <v>0</v>
      </c>
      <c r="AM113" s="20">
        <f t="shared" si="39"/>
        <v>0</v>
      </c>
      <c r="AN113" s="20">
        <f t="shared" si="40"/>
        <v>0</v>
      </c>
      <c r="AO113" s="20">
        <f t="shared" si="41"/>
        <v>0</v>
      </c>
      <c r="AP113" s="20">
        <f t="shared" si="42"/>
        <v>0</v>
      </c>
      <c r="AQ113" s="20">
        <f t="shared" si="43"/>
        <v>0</v>
      </c>
      <c r="AR113" s="20">
        <f t="shared" si="44"/>
        <v>0</v>
      </c>
      <c r="AS113" s="20">
        <f t="shared" si="45"/>
        <v>0</v>
      </c>
      <c r="AT113" s="20">
        <f t="shared" si="46"/>
        <v>0</v>
      </c>
      <c r="AU113" s="20">
        <f t="shared" si="47"/>
        <v>0</v>
      </c>
      <c r="AV113" s="20">
        <f t="shared" si="48"/>
        <v>0</v>
      </c>
      <c r="AW113" s="20">
        <f t="shared" si="49"/>
        <v>0</v>
      </c>
      <c r="AX113" s="20">
        <f t="shared" si="50"/>
        <v>0</v>
      </c>
      <c r="AY113" s="20">
        <f t="shared" si="51"/>
        <v>0</v>
      </c>
      <c r="AZ113" s="20">
        <f t="shared" si="52"/>
        <v>0</v>
      </c>
      <c r="BA113" s="20">
        <f t="shared" si="53"/>
        <v>0</v>
      </c>
      <c r="BB113" s="20">
        <f t="shared" si="54"/>
        <v>0</v>
      </c>
      <c r="BC113" s="20">
        <f t="shared" si="55"/>
        <v>0</v>
      </c>
      <c r="BD113" s="20">
        <f t="shared" si="56"/>
        <v>0</v>
      </c>
      <c r="BE113" s="20">
        <f t="shared" si="57"/>
        <v>0</v>
      </c>
      <c r="BF113" s="20">
        <f t="shared" si="58"/>
        <v>0</v>
      </c>
      <c r="BG113" s="20">
        <f t="shared" si="59"/>
        <v>0</v>
      </c>
      <c r="BH113" s="20">
        <f t="shared" si="60"/>
        <v>0</v>
      </c>
      <c r="BI113" s="20">
        <f t="shared" si="61"/>
        <v>0</v>
      </c>
      <c r="BJ113" s="18" t="s">
        <v>932</v>
      </c>
      <c r="BK113" s="35" t="s">
        <v>605</v>
      </c>
      <c r="BL113" s="18" t="s">
        <v>606</v>
      </c>
      <c r="BM113" s="41">
        <f t="shared" si="62"/>
        <v>0</v>
      </c>
      <c r="BN113" s="37">
        <f t="shared" si="67"/>
        <v>0</v>
      </c>
    </row>
    <row r="114" spans="1:66" ht="34.5" customHeight="1">
      <c r="A114" s="34" t="s">
        <v>605</v>
      </c>
      <c r="B114" s="18" t="s">
        <v>606</v>
      </c>
      <c r="C114" s="60">
        <v>351</v>
      </c>
      <c r="D114" s="29" t="s">
        <v>636</v>
      </c>
      <c r="E114" s="39">
        <v>3910.3723301160612</v>
      </c>
      <c r="F114" s="19">
        <f t="shared" si="68"/>
        <v>391.03723301160613</v>
      </c>
      <c r="G114" s="19">
        <f t="shared" si="69"/>
        <v>74.297074272205165</v>
      </c>
      <c r="H114" s="19">
        <f t="shared" si="70"/>
        <v>4375.7066373998732</v>
      </c>
      <c r="J114" s="8">
        <f t="shared" si="36"/>
        <v>0</v>
      </c>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K114" s="20">
        <f t="shared" si="66"/>
        <v>0</v>
      </c>
      <c r="AL114" s="20">
        <f t="shared" si="38"/>
        <v>0</v>
      </c>
      <c r="AM114" s="20">
        <f t="shared" si="39"/>
        <v>0</v>
      </c>
      <c r="AN114" s="20">
        <f t="shared" si="40"/>
        <v>0</v>
      </c>
      <c r="AO114" s="20">
        <f t="shared" si="41"/>
        <v>0</v>
      </c>
      <c r="AP114" s="20">
        <f t="shared" si="42"/>
        <v>0</v>
      </c>
      <c r="AQ114" s="20">
        <f t="shared" si="43"/>
        <v>0</v>
      </c>
      <c r="AR114" s="20">
        <f t="shared" si="44"/>
        <v>0</v>
      </c>
      <c r="AS114" s="20">
        <f t="shared" si="45"/>
        <v>0</v>
      </c>
      <c r="AT114" s="20">
        <f t="shared" si="46"/>
        <v>0</v>
      </c>
      <c r="AU114" s="20">
        <f t="shared" si="47"/>
        <v>0</v>
      </c>
      <c r="AV114" s="20">
        <f t="shared" si="48"/>
        <v>0</v>
      </c>
      <c r="AW114" s="20">
        <f t="shared" si="49"/>
        <v>0</v>
      </c>
      <c r="AX114" s="20">
        <f t="shared" si="50"/>
        <v>0</v>
      </c>
      <c r="AY114" s="20">
        <f t="shared" si="51"/>
        <v>0</v>
      </c>
      <c r="AZ114" s="20">
        <f t="shared" si="52"/>
        <v>0</v>
      </c>
      <c r="BA114" s="20">
        <f t="shared" si="53"/>
        <v>0</v>
      </c>
      <c r="BB114" s="20">
        <f t="shared" si="54"/>
        <v>0</v>
      </c>
      <c r="BC114" s="20">
        <f t="shared" si="55"/>
        <v>0</v>
      </c>
      <c r="BD114" s="20">
        <f t="shared" si="56"/>
        <v>0</v>
      </c>
      <c r="BE114" s="20">
        <f t="shared" si="57"/>
        <v>0</v>
      </c>
      <c r="BF114" s="20">
        <f t="shared" si="58"/>
        <v>0</v>
      </c>
      <c r="BG114" s="20">
        <f t="shared" si="59"/>
        <v>0</v>
      </c>
      <c r="BH114" s="20">
        <f t="shared" si="60"/>
        <v>0</v>
      </c>
      <c r="BI114" s="20">
        <f t="shared" si="61"/>
        <v>0</v>
      </c>
      <c r="BJ114" s="18" t="s">
        <v>932</v>
      </c>
      <c r="BK114" s="35" t="s">
        <v>605</v>
      </c>
      <c r="BL114" s="18" t="s">
        <v>606</v>
      </c>
      <c r="BM114" s="41">
        <f t="shared" si="62"/>
        <v>0</v>
      </c>
      <c r="BN114" s="37">
        <f t="shared" si="67"/>
        <v>0</v>
      </c>
    </row>
    <row r="115" spans="1:66" ht="34.5" customHeight="1">
      <c r="A115" s="34" t="s">
        <v>605</v>
      </c>
      <c r="B115" s="18" t="s">
        <v>606</v>
      </c>
      <c r="C115" s="60">
        <v>354</v>
      </c>
      <c r="D115" s="29" t="s">
        <v>637</v>
      </c>
      <c r="E115" s="39">
        <v>3432.3641675212289</v>
      </c>
      <c r="F115" s="19">
        <f t="shared" si="68"/>
        <v>343.23641675212292</v>
      </c>
      <c r="G115" s="19">
        <f t="shared" si="69"/>
        <v>65.214919182903358</v>
      </c>
      <c r="H115" s="19">
        <f t="shared" si="70"/>
        <v>3840.8155034562551</v>
      </c>
      <c r="J115" s="8">
        <f t="shared" si="36"/>
        <v>0</v>
      </c>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K115" s="20">
        <f t="shared" si="66"/>
        <v>0</v>
      </c>
      <c r="AL115" s="20">
        <f t="shared" si="38"/>
        <v>0</v>
      </c>
      <c r="AM115" s="20">
        <f t="shared" si="39"/>
        <v>0</v>
      </c>
      <c r="AN115" s="20">
        <f t="shared" si="40"/>
        <v>0</v>
      </c>
      <c r="AO115" s="20">
        <f t="shared" si="41"/>
        <v>0</v>
      </c>
      <c r="AP115" s="20">
        <f t="shared" si="42"/>
        <v>0</v>
      </c>
      <c r="AQ115" s="20">
        <f t="shared" si="43"/>
        <v>0</v>
      </c>
      <c r="AR115" s="20">
        <f t="shared" si="44"/>
        <v>0</v>
      </c>
      <c r="AS115" s="20">
        <f t="shared" si="45"/>
        <v>0</v>
      </c>
      <c r="AT115" s="20">
        <f t="shared" si="46"/>
        <v>0</v>
      </c>
      <c r="AU115" s="20">
        <f t="shared" si="47"/>
        <v>0</v>
      </c>
      <c r="AV115" s="20">
        <f t="shared" si="48"/>
        <v>0</v>
      </c>
      <c r="AW115" s="20">
        <f t="shared" si="49"/>
        <v>0</v>
      </c>
      <c r="AX115" s="20">
        <f t="shared" si="50"/>
        <v>0</v>
      </c>
      <c r="AY115" s="20">
        <f t="shared" si="51"/>
        <v>0</v>
      </c>
      <c r="AZ115" s="20">
        <f t="shared" si="52"/>
        <v>0</v>
      </c>
      <c r="BA115" s="20">
        <f t="shared" si="53"/>
        <v>0</v>
      </c>
      <c r="BB115" s="20">
        <f t="shared" si="54"/>
        <v>0</v>
      </c>
      <c r="BC115" s="20">
        <f t="shared" si="55"/>
        <v>0</v>
      </c>
      <c r="BD115" s="20">
        <f t="shared" si="56"/>
        <v>0</v>
      </c>
      <c r="BE115" s="20">
        <f t="shared" si="57"/>
        <v>0</v>
      </c>
      <c r="BF115" s="20">
        <f t="shared" si="58"/>
        <v>0</v>
      </c>
      <c r="BG115" s="20">
        <f t="shared" si="59"/>
        <v>0</v>
      </c>
      <c r="BH115" s="20">
        <f t="shared" si="60"/>
        <v>0</v>
      </c>
      <c r="BI115" s="20">
        <f t="shared" si="61"/>
        <v>0</v>
      </c>
      <c r="BJ115" s="18" t="s">
        <v>932</v>
      </c>
      <c r="BK115" s="35" t="s">
        <v>605</v>
      </c>
      <c r="BL115" s="18" t="s">
        <v>606</v>
      </c>
      <c r="BM115" s="41">
        <f t="shared" si="62"/>
        <v>0</v>
      </c>
      <c r="BN115" s="37">
        <f t="shared" si="67"/>
        <v>0</v>
      </c>
    </row>
    <row r="116" spans="1:66" ht="34.5" customHeight="1">
      <c r="A116" s="34" t="s">
        <v>605</v>
      </c>
      <c r="B116" s="18" t="s">
        <v>606</v>
      </c>
      <c r="C116" s="60">
        <v>357</v>
      </c>
      <c r="D116" s="29" t="s">
        <v>638</v>
      </c>
      <c r="E116" s="39">
        <v>2346.0574230131801</v>
      </c>
      <c r="F116" s="19">
        <f t="shared" si="68"/>
        <v>234.60574230131803</v>
      </c>
      <c r="G116" s="19">
        <f t="shared" si="69"/>
        <v>44.575091037250424</v>
      </c>
      <c r="H116" s="19">
        <f t="shared" si="70"/>
        <v>2625.2382563517485</v>
      </c>
      <c r="J116" s="8">
        <f t="shared" si="36"/>
        <v>0</v>
      </c>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K116" s="20">
        <f t="shared" si="66"/>
        <v>0</v>
      </c>
      <c r="AL116" s="20">
        <f t="shared" si="38"/>
        <v>0</v>
      </c>
      <c r="AM116" s="20">
        <f t="shared" si="39"/>
        <v>0</v>
      </c>
      <c r="AN116" s="20">
        <f t="shared" si="40"/>
        <v>0</v>
      </c>
      <c r="AO116" s="20">
        <f t="shared" si="41"/>
        <v>0</v>
      </c>
      <c r="AP116" s="20">
        <f t="shared" si="42"/>
        <v>0</v>
      </c>
      <c r="AQ116" s="20">
        <f t="shared" si="43"/>
        <v>0</v>
      </c>
      <c r="AR116" s="20">
        <f t="shared" si="44"/>
        <v>0</v>
      </c>
      <c r="AS116" s="20">
        <f t="shared" si="45"/>
        <v>0</v>
      </c>
      <c r="AT116" s="20">
        <f t="shared" si="46"/>
        <v>0</v>
      </c>
      <c r="AU116" s="20">
        <f t="shared" si="47"/>
        <v>0</v>
      </c>
      <c r="AV116" s="20">
        <f t="shared" si="48"/>
        <v>0</v>
      </c>
      <c r="AW116" s="20">
        <f t="shared" si="49"/>
        <v>0</v>
      </c>
      <c r="AX116" s="20">
        <f t="shared" si="50"/>
        <v>0</v>
      </c>
      <c r="AY116" s="20">
        <f t="shared" si="51"/>
        <v>0</v>
      </c>
      <c r="AZ116" s="20">
        <f t="shared" si="52"/>
        <v>0</v>
      </c>
      <c r="BA116" s="20">
        <f t="shared" si="53"/>
        <v>0</v>
      </c>
      <c r="BB116" s="20">
        <f t="shared" si="54"/>
        <v>0</v>
      </c>
      <c r="BC116" s="20">
        <f t="shared" si="55"/>
        <v>0</v>
      </c>
      <c r="BD116" s="20">
        <f t="shared" si="56"/>
        <v>0</v>
      </c>
      <c r="BE116" s="20">
        <f t="shared" si="57"/>
        <v>0</v>
      </c>
      <c r="BF116" s="20">
        <f t="shared" si="58"/>
        <v>0</v>
      </c>
      <c r="BG116" s="20">
        <f t="shared" si="59"/>
        <v>0</v>
      </c>
      <c r="BH116" s="20">
        <f t="shared" si="60"/>
        <v>0</v>
      </c>
      <c r="BI116" s="20">
        <f t="shared" si="61"/>
        <v>0</v>
      </c>
      <c r="BJ116" s="18" t="s">
        <v>932</v>
      </c>
      <c r="BK116" s="35" t="s">
        <v>605</v>
      </c>
      <c r="BL116" s="18" t="s">
        <v>606</v>
      </c>
      <c r="BM116" s="41">
        <f t="shared" si="62"/>
        <v>0</v>
      </c>
      <c r="BN116" s="37">
        <f t="shared" si="67"/>
        <v>0</v>
      </c>
    </row>
    <row r="117" spans="1:66" ht="34.5" customHeight="1">
      <c r="A117" s="34" t="s">
        <v>605</v>
      </c>
      <c r="B117" s="18" t="s">
        <v>606</v>
      </c>
      <c r="C117" s="60">
        <v>360</v>
      </c>
      <c r="D117" s="29" t="s">
        <v>639</v>
      </c>
      <c r="E117" s="39">
        <v>4680.4965920744025</v>
      </c>
      <c r="F117" s="19">
        <f t="shared" si="68"/>
        <v>468.0496592074403</v>
      </c>
      <c r="G117" s="19">
        <f t="shared" si="69"/>
        <v>88.929435249413658</v>
      </c>
      <c r="H117" s="19">
        <f t="shared" si="70"/>
        <v>5237.4756865312565</v>
      </c>
      <c r="J117" s="8">
        <f t="shared" si="36"/>
        <v>0</v>
      </c>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K117" s="20">
        <f t="shared" si="66"/>
        <v>0</v>
      </c>
      <c r="AL117" s="20">
        <f t="shared" si="38"/>
        <v>0</v>
      </c>
      <c r="AM117" s="20">
        <f t="shared" si="39"/>
        <v>0</v>
      </c>
      <c r="AN117" s="20">
        <f t="shared" si="40"/>
        <v>0</v>
      </c>
      <c r="AO117" s="20">
        <f t="shared" si="41"/>
        <v>0</v>
      </c>
      <c r="AP117" s="20">
        <f t="shared" si="42"/>
        <v>0</v>
      </c>
      <c r="AQ117" s="20">
        <f t="shared" si="43"/>
        <v>0</v>
      </c>
      <c r="AR117" s="20">
        <f t="shared" si="44"/>
        <v>0</v>
      </c>
      <c r="AS117" s="20">
        <f t="shared" si="45"/>
        <v>0</v>
      </c>
      <c r="AT117" s="20">
        <f t="shared" si="46"/>
        <v>0</v>
      </c>
      <c r="AU117" s="20">
        <f t="shared" si="47"/>
        <v>0</v>
      </c>
      <c r="AV117" s="20">
        <f t="shared" si="48"/>
        <v>0</v>
      </c>
      <c r="AW117" s="20">
        <f t="shared" si="49"/>
        <v>0</v>
      </c>
      <c r="AX117" s="20">
        <f t="shared" si="50"/>
        <v>0</v>
      </c>
      <c r="AY117" s="20">
        <f t="shared" si="51"/>
        <v>0</v>
      </c>
      <c r="AZ117" s="20">
        <f t="shared" si="52"/>
        <v>0</v>
      </c>
      <c r="BA117" s="20">
        <f t="shared" si="53"/>
        <v>0</v>
      </c>
      <c r="BB117" s="20">
        <f t="shared" si="54"/>
        <v>0</v>
      </c>
      <c r="BC117" s="20">
        <f t="shared" si="55"/>
        <v>0</v>
      </c>
      <c r="BD117" s="20">
        <f t="shared" si="56"/>
        <v>0</v>
      </c>
      <c r="BE117" s="20">
        <f t="shared" si="57"/>
        <v>0</v>
      </c>
      <c r="BF117" s="20">
        <f t="shared" si="58"/>
        <v>0</v>
      </c>
      <c r="BG117" s="20">
        <f t="shared" si="59"/>
        <v>0</v>
      </c>
      <c r="BH117" s="20">
        <f t="shared" si="60"/>
        <v>0</v>
      </c>
      <c r="BI117" s="20">
        <f t="shared" si="61"/>
        <v>0</v>
      </c>
      <c r="BJ117" s="18" t="s">
        <v>932</v>
      </c>
      <c r="BK117" s="35" t="s">
        <v>605</v>
      </c>
      <c r="BL117" s="18" t="s">
        <v>606</v>
      </c>
      <c r="BM117" s="41">
        <f t="shared" si="62"/>
        <v>0</v>
      </c>
      <c r="BN117" s="37">
        <f t="shared" si="67"/>
        <v>0</v>
      </c>
    </row>
    <row r="118" spans="1:66" ht="34.5" customHeight="1">
      <c r="A118" s="34" t="s">
        <v>605</v>
      </c>
      <c r="B118" s="18" t="s">
        <v>606</v>
      </c>
      <c r="C118" s="60">
        <v>365</v>
      </c>
      <c r="D118" s="29" t="s">
        <v>640</v>
      </c>
      <c r="E118" s="39">
        <v>18055.596516624606</v>
      </c>
      <c r="F118" s="19">
        <f t="shared" si="68"/>
        <v>1805.5596516624607</v>
      </c>
      <c r="G118" s="19">
        <f t="shared" si="69"/>
        <v>343.05633381586756</v>
      </c>
      <c r="H118" s="19">
        <f t="shared" si="70"/>
        <v>20204.212502102935</v>
      </c>
      <c r="J118" s="8">
        <f t="shared" si="36"/>
        <v>4</v>
      </c>
      <c r="K118" s="92">
        <v>2</v>
      </c>
      <c r="L118" s="92"/>
      <c r="M118" s="92"/>
      <c r="N118" s="92">
        <v>1</v>
      </c>
      <c r="O118" s="92"/>
      <c r="P118" s="92"/>
      <c r="Q118" s="92"/>
      <c r="R118" s="92"/>
      <c r="S118" s="92"/>
      <c r="T118" s="92"/>
      <c r="U118" s="92"/>
      <c r="V118" s="92">
        <v>1</v>
      </c>
      <c r="W118" s="92"/>
      <c r="X118" s="92"/>
      <c r="Y118" s="92"/>
      <c r="Z118" s="92"/>
      <c r="AA118" s="92"/>
      <c r="AB118" s="92"/>
      <c r="AC118" s="92"/>
      <c r="AD118" s="92"/>
      <c r="AE118" s="92"/>
      <c r="AF118" s="92"/>
      <c r="AG118" s="92"/>
      <c r="AH118" s="92"/>
      <c r="AI118" s="92"/>
      <c r="AK118" s="20">
        <f t="shared" si="66"/>
        <v>40408</v>
      </c>
      <c r="AL118" s="20">
        <f t="shared" si="38"/>
        <v>0</v>
      </c>
      <c r="AM118" s="20">
        <f t="shared" si="39"/>
        <v>0</v>
      </c>
      <c r="AN118" s="20">
        <f t="shared" si="40"/>
        <v>20204</v>
      </c>
      <c r="AO118" s="20">
        <f t="shared" si="41"/>
        <v>0</v>
      </c>
      <c r="AP118" s="20">
        <f t="shared" si="42"/>
        <v>0</v>
      </c>
      <c r="AQ118" s="20">
        <f t="shared" si="43"/>
        <v>0</v>
      </c>
      <c r="AR118" s="20">
        <f t="shared" si="44"/>
        <v>0</v>
      </c>
      <c r="AS118" s="20">
        <f t="shared" si="45"/>
        <v>0</v>
      </c>
      <c r="AT118" s="20">
        <f t="shared" si="46"/>
        <v>0</v>
      </c>
      <c r="AU118" s="20">
        <f t="shared" si="47"/>
        <v>0</v>
      </c>
      <c r="AV118" s="20">
        <f t="shared" si="48"/>
        <v>20204</v>
      </c>
      <c r="AW118" s="20">
        <f t="shared" si="49"/>
        <v>0</v>
      </c>
      <c r="AX118" s="20">
        <f t="shared" si="50"/>
        <v>0</v>
      </c>
      <c r="AY118" s="20">
        <f t="shared" si="51"/>
        <v>0</v>
      </c>
      <c r="AZ118" s="20">
        <f t="shared" si="52"/>
        <v>0</v>
      </c>
      <c r="BA118" s="20">
        <f t="shared" si="53"/>
        <v>0</v>
      </c>
      <c r="BB118" s="20">
        <f t="shared" si="54"/>
        <v>0</v>
      </c>
      <c r="BC118" s="20">
        <f t="shared" si="55"/>
        <v>0</v>
      </c>
      <c r="BD118" s="20">
        <f t="shared" si="56"/>
        <v>0</v>
      </c>
      <c r="BE118" s="20">
        <f t="shared" si="57"/>
        <v>0</v>
      </c>
      <c r="BF118" s="20">
        <f t="shared" si="58"/>
        <v>0</v>
      </c>
      <c r="BG118" s="20">
        <f t="shared" si="59"/>
        <v>0</v>
      </c>
      <c r="BH118" s="20">
        <f t="shared" si="60"/>
        <v>0</v>
      </c>
      <c r="BI118" s="20">
        <f t="shared" si="61"/>
        <v>0</v>
      </c>
      <c r="BJ118" s="18" t="s">
        <v>932</v>
      </c>
      <c r="BK118" s="35" t="s">
        <v>605</v>
      </c>
      <c r="BL118" s="18" t="s">
        <v>606</v>
      </c>
      <c r="BM118" s="41">
        <f t="shared" si="62"/>
        <v>80816</v>
      </c>
      <c r="BN118" s="37">
        <f t="shared" si="67"/>
        <v>72222</v>
      </c>
    </row>
    <row r="119" spans="1:66" ht="34.5" customHeight="1">
      <c r="A119" s="34" t="s">
        <v>605</v>
      </c>
      <c r="B119" s="18" t="s">
        <v>606</v>
      </c>
      <c r="C119" s="60">
        <v>367</v>
      </c>
      <c r="D119" s="29" t="s">
        <v>641</v>
      </c>
      <c r="E119" s="39">
        <v>20196.311674477962</v>
      </c>
      <c r="F119" s="19">
        <f t="shared" si="68"/>
        <v>2019.6311674477963</v>
      </c>
      <c r="G119" s="19">
        <f t="shared" si="69"/>
        <v>383.7299218150813</v>
      </c>
      <c r="H119" s="19">
        <f t="shared" si="70"/>
        <v>22599.672763740837</v>
      </c>
      <c r="J119" s="8">
        <f t="shared" si="36"/>
        <v>58</v>
      </c>
      <c r="K119" s="92">
        <v>18</v>
      </c>
      <c r="L119" s="92">
        <v>6</v>
      </c>
      <c r="M119" s="92">
        <v>1</v>
      </c>
      <c r="N119" s="92"/>
      <c r="O119" s="92">
        <v>2</v>
      </c>
      <c r="P119" s="92">
        <v>2</v>
      </c>
      <c r="Q119" s="92">
        <v>2</v>
      </c>
      <c r="R119" s="92">
        <v>2</v>
      </c>
      <c r="S119" s="92">
        <v>2</v>
      </c>
      <c r="T119" s="92">
        <v>4</v>
      </c>
      <c r="U119" s="92">
        <v>2</v>
      </c>
      <c r="V119" s="92"/>
      <c r="W119" s="92">
        <v>1</v>
      </c>
      <c r="X119" s="92">
        <v>2</v>
      </c>
      <c r="Y119" s="92">
        <v>1</v>
      </c>
      <c r="Z119" s="92">
        <v>2</v>
      </c>
      <c r="AA119" s="92">
        <v>1</v>
      </c>
      <c r="AB119" s="92">
        <v>2</v>
      </c>
      <c r="AC119" s="92">
        <v>1</v>
      </c>
      <c r="AD119" s="92">
        <v>1</v>
      </c>
      <c r="AE119" s="92">
        <v>1</v>
      </c>
      <c r="AF119" s="92">
        <v>1</v>
      </c>
      <c r="AG119" s="92">
        <v>1</v>
      </c>
      <c r="AH119" s="92">
        <v>1</v>
      </c>
      <c r="AI119" s="92">
        <v>2</v>
      </c>
      <c r="AK119" s="20">
        <f t="shared" si="66"/>
        <v>406794</v>
      </c>
      <c r="AL119" s="20">
        <f t="shared" si="38"/>
        <v>135598</v>
      </c>
      <c r="AM119" s="20">
        <f t="shared" si="39"/>
        <v>22600</v>
      </c>
      <c r="AN119" s="20">
        <f t="shared" si="40"/>
        <v>0</v>
      </c>
      <c r="AO119" s="20">
        <f t="shared" si="41"/>
        <v>45199</v>
      </c>
      <c r="AP119" s="20">
        <f t="shared" si="42"/>
        <v>45199</v>
      </c>
      <c r="AQ119" s="20">
        <f t="shared" si="43"/>
        <v>45199</v>
      </c>
      <c r="AR119" s="20">
        <f t="shared" si="44"/>
        <v>45199</v>
      </c>
      <c r="AS119" s="20">
        <f t="shared" si="45"/>
        <v>45199</v>
      </c>
      <c r="AT119" s="20">
        <f t="shared" si="46"/>
        <v>90399</v>
      </c>
      <c r="AU119" s="20">
        <f t="shared" si="47"/>
        <v>45199</v>
      </c>
      <c r="AV119" s="20">
        <f t="shared" si="48"/>
        <v>0</v>
      </c>
      <c r="AW119" s="20">
        <f t="shared" si="49"/>
        <v>22600</v>
      </c>
      <c r="AX119" s="20">
        <f t="shared" si="50"/>
        <v>45199</v>
      </c>
      <c r="AY119" s="20">
        <f t="shared" si="51"/>
        <v>22600</v>
      </c>
      <c r="AZ119" s="20">
        <f t="shared" si="52"/>
        <v>45199</v>
      </c>
      <c r="BA119" s="20">
        <f t="shared" si="53"/>
        <v>22600</v>
      </c>
      <c r="BB119" s="20">
        <f t="shared" si="54"/>
        <v>45199</v>
      </c>
      <c r="BC119" s="20">
        <f t="shared" si="55"/>
        <v>22600</v>
      </c>
      <c r="BD119" s="20">
        <f t="shared" si="56"/>
        <v>22600</v>
      </c>
      <c r="BE119" s="20">
        <f t="shared" si="57"/>
        <v>22600</v>
      </c>
      <c r="BF119" s="20">
        <f t="shared" si="58"/>
        <v>22600</v>
      </c>
      <c r="BG119" s="20">
        <f t="shared" si="59"/>
        <v>22600</v>
      </c>
      <c r="BH119" s="20">
        <f t="shared" si="60"/>
        <v>22600</v>
      </c>
      <c r="BI119" s="20">
        <f t="shared" si="61"/>
        <v>45199</v>
      </c>
      <c r="BJ119" s="18" t="s">
        <v>932</v>
      </c>
      <c r="BK119" s="35" t="s">
        <v>605</v>
      </c>
      <c r="BL119" s="18" t="s">
        <v>606</v>
      </c>
      <c r="BM119" s="41">
        <f t="shared" si="62"/>
        <v>1310781</v>
      </c>
      <c r="BN119" s="37">
        <f t="shared" si="67"/>
        <v>1171386</v>
      </c>
    </row>
    <row r="120" spans="1:66" ht="34.5" customHeight="1">
      <c r="A120" s="34" t="s">
        <v>605</v>
      </c>
      <c r="B120" s="18" t="s">
        <v>606</v>
      </c>
      <c r="C120" s="60">
        <v>372</v>
      </c>
      <c r="D120" s="29" t="s">
        <v>642</v>
      </c>
      <c r="E120" s="39">
        <v>20942.421420455248</v>
      </c>
      <c r="F120" s="19">
        <f t="shared" si="68"/>
        <v>2094.2421420455248</v>
      </c>
      <c r="G120" s="19">
        <f t="shared" si="69"/>
        <v>397.90600698864972</v>
      </c>
      <c r="H120" s="19">
        <f t="shared" si="70"/>
        <v>23434.569569489424</v>
      </c>
      <c r="J120" s="8">
        <f t="shared" si="36"/>
        <v>77</v>
      </c>
      <c r="K120" s="92">
        <v>17</v>
      </c>
      <c r="L120" s="92">
        <v>4</v>
      </c>
      <c r="M120" s="92">
        <v>5</v>
      </c>
      <c r="N120" s="92">
        <v>2</v>
      </c>
      <c r="O120" s="92">
        <v>8</v>
      </c>
      <c r="P120" s="92">
        <v>3</v>
      </c>
      <c r="Q120" s="92">
        <v>3</v>
      </c>
      <c r="R120" s="92">
        <v>3</v>
      </c>
      <c r="S120" s="92">
        <v>3</v>
      </c>
      <c r="T120" s="92">
        <v>4</v>
      </c>
      <c r="U120" s="92">
        <v>3</v>
      </c>
      <c r="V120" s="92">
        <v>2</v>
      </c>
      <c r="W120" s="92">
        <v>2</v>
      </c>
      <c r="X120" s="92">
        <v>1</v>
      </c>
      <c r="Y120" s="92">
        <v>1</v>
      </c>
      <c r="Z120" s="92">
        <v>1</v>
      </c>
      <c r="AA120" s="92">
        <v>2</v>
      </c>
      <c r="AB120" s="92">
        <v>2</v>
      </c>
      <c r="AC120" s="92">
        <v>1</v>
      </c>
      <c r="AD120" s="92">
        <v>2</v>
      </c>
      <c r="AE120" s="92">
        <v>1</v>
      </c>
      <c r="AF120" s="92">
        <v>2</v>
      </c>
      <c r="AG120" s="92">
        <v>2</v>
      </c>
      <c r="AH120" s="92">
        <v>1</v>
      </c>
      <c r="AI120" s="92">
        <v>2</v>
      </c>
      <c r="AK120" s="20">
        <f t="shared" si="66"/>
        <v>398388</v>
      </c>
      <c r="AL120" s="20">
        <f t="shared" si="38"/>
        <v>93738</v>
      </c>
      <c r="AM120" s="20">
        <f t="shared" si="39"/>
        <v>117173</v>
      </c>
      <c r="AN120" s="20">
        <f t="shared" si="40"/>
        <v>46869</v>
      </c>
      <c r="AO120" s="20">
        <f t="shared" si="41"/>
        <v>187477</v>
      </c>
      <c r="AP120" s="20">
        <f t="shared" si="42"/>
        <v>70304</v>
      </c>
      <c r="AQ120" s="20">
        <f t="shared" si="43"/>
        <v>70304</v>
      </c>
      <c r="AR120" s="20">
        <f t="shared" si="44"/>
        <v>70304</v>
      </c>
      <c r="AS120" s="20">
        <f t="shared" si="45"/>
        <v>70304</v>
      </c>
      <c r="AT120" s="20">
        <f t="shared" si="46"/>
        <v>93738</v>
      </c>
      <c r="AU120" s="20">
        <f t="shared" si="47"/>
        <v>70304</v>
      </c>
      <c r="AV120" s="20">
        <f t="shared" si="48"/>
        <v>46869</v>
      </c>
      <c r="AW120" s="20">
        <f t="shared" si="49"/>
        <v>46869</v>
      </c>
      <c r="AX120" s="20">
        <f t="shared" si="50"/>
        <v>23435</v>
      </c>
      <c r="AY120" s="20">
        <f t="shared" si="51"/>
        <v>23435</v>
      </c>
      <c r="AZ120" s="20">
        <f t="shared" si="52"/>
        <v>23435</v>
      </c>
      <c r="BA120" s="20">
        <f t="shared" si="53"/>
        <v>46869</v>
      </c>
      <c r="BB120" s="20">
        <f t="shared" si="54"/>
        <v>46869</v>
      </c>
      <c r="BC120" s="20">
        <f t="shared" si="55"/>
        <v>23435</v>
      </c>
      <c r="BD120" s="20">
        <f t="shared" si="56"/>
        <v>46869</v>
      </c>
      <c r="BE120" s="20">
        <f t="shared" si="57"/>
        <v>23435</v>
      </c>
      <c r="BF120" s="20">
        <f t="shared" si="58"/>
        <v>46869</v>
      </c>
      <c r="BG120" s="20">
        <f t="shared" si="59"/>
        <v>46869</v>
      </c>
      <c r="BH120" s="20">
        <f t="shared" si="60"/>
        <v>23435</v>
      </c>
      <c r="BI120" s="20">
        <f t="shared" si="61"/>
        <v>46869</v>
      </c>
      <c r="BJ120" s="18" t="s">
        <v>932</v>
      </c>
      <c r="BK120" s="35" t="s">
        <v>605</v>
      </c>
      <c r="BL120" s="18" t="s">
        <v>606</v>
      </c>
      <c r="BM120" s="41">
        <f t="shared" si="62"/>
        <v>1804465</v>
      </c>
      <c r="BN120" s="37">
        <f t="shared" si="67"/>
        <v>1612566</v>
      </c>
    </row>
    <row r="121" spans="1:66" ht="34.5" customHeight="1">
      <c r="A121" s="34" t="s">
        <v>605</v>
      </c>
      <c r="B121" s="18" t="s">
        <v>606</v>
      </c>
      <c r="C121" s="60">
        <v>374</v>
      </c>
      <c r="D121" s="29" t="s">
        <v>643</v>
      </c>
      <c r="E121" s="39">
        <v>2856.4307216170378</v>
      </c>
      <c r="F121" s="19">
        <f t="shared" si="68"/>
        <v>285.6430721617038</v>
      </c>
      <c r="G121" s="19">
        <f t="shared" si="69"/>
        <v>54.272183710723723</v>
      </c>
      <c r="H121" s="19">
        <f t="shared" si="70"/>
        <v>3196.3459774894654</v>
      </c>
      <c r="J121" s="8">
        <f t="shared" si="36"/>
        <v>35</v>
      </c>
      <c r="K121" s="92">
        <v>20</v>
      </c>
      <c r="L121" s="92">
        <v>6</v>
      </c>
      <c r="M121" s="92">
        <v>3</v>
      </c>
      <c r="N121" s="92">
        <v>3</v>
      </c>
      <c r="O121" s="92"/>
      <c r="P121" s="92"/>
      <c r="Q121" s="92"/>
      <c r="R121" s="92"/>
      <c r="S121" s="92"/>
      <c r="T121" s="92"/>
      <c r="U121" s="92"/>
      <c r="V121" s="92"/>
      <c r="W121" s="92"/>
      <c r="X121" s="92"/>
      <c r="Y121" s="92"/>
      <c r="Z121" s="92"/>
      <c r="AA121" s="92"/>
      <c r="AB121" s="92">
        <v>1</v>
      </c>
      <c r="AC121" s="92"/>
      <c r="AD121" s="92"/>
      <c r="AE121" s="92">
        <v>1</v>
      </c>
      <c r="AF121" s="92"/>
      <c r="AG121" s="92"/>
      <c r="AH121" s="92">
        <v>1</v>
      </c>
      <c r="AI121" s="92"/>
      <c r="AK121" s="20">
        <f t="shared" si="66"/>
        <v>63927</v>
      </c>
      <c r="AL121" s="20">
        <f t="shared" si="38"/>
        <v>19178</v>
      </c>
      <c r="AM121" s="20">
        <f t="shared" si="39"/>
        <v>9589</v>
      </c>
      <c r="AN121" s="20">
        <f t="shared" si="40"/>
        <v>9589</v>
      </c>
      <c r="AO121" s="20">
        <f t="shared" si="41"/>
        <v>0</v>
      </c>
      <c r="AP121" s="20">
        <f t="shared" si="42"/>
        <v>0</v>
      </c>
      <c r="AQ121" s="20">
        <f t="shared" si="43"/>
        <v>0</v>
      </c>
      <c r="AR121" s="20">
        <f t="shared" si="44"/>
        <v>0</v>
      </c>
      <c r="AS121" s="20">
        <f t="shared" si="45"/>
        <v>0</v>
      </c>
      <c r="AT121" s="20">
        <f t="shared" si="46"/>
        <v>0</v>
      </c>
      <c r="AU121" s="20">
        <f t="shared" si="47"/>
        <v>0</v>
      </c>
      <c r="AV121" s="20">
        <f t="shared" si="48"/>
        <v>0</v>
      </c>
      <c r="AW121" s="20">
        <f t="shared" si="49"/>
        <v>0</v>
      </c>
      <c r="AX121" s="20">
        <f t="shared" si="50"/>
        <v>0</v>
      </c>
      <c r="AY121" s="20">
        <f t="shared" si="51"/>
        <v>0</v>
      </c>
      <c r="AZ121" s="20">
        <f t="shared" si="52"/>
        <v>0</v>
      </c>
      <c r="BA121" s="20">
        <f t="shared" si="53"/>
        <v>0</v>
      </c>
      <c r="BB121" s="20">
        <f t="shared" si="54"/>
        <v>3196</v>
      </c>
      <c r="BC121" s="20">
        <f t="shared" si="55"/>
        <v>0</v>
      </c>
      <c r="BD121" s="20">
        <f t="shared" si="56"/>
        <v>0</v>
      </c>
      <c r="BE121" s="20">
        <f t="shared" si="57"/>
        <v>3196</v>
      </c>
      <c r="BF121" s="20">
        <f t="shared" si="58"/>
        <v>0</v>
      </c>
      <c r="BG121" s="20">
        <f t="shared" si="59"/>
        <v>0</v>
      </c>
      <c r="BH121" s="20">
        <f t="shared" si="60"/>
        <v>3196</v>
      </c>
      <c r="BI121" s="20">
        <f t="shared" si="61"/>
        <v>0</v>
      </c>
      <c r="BJ121" s="18" t="s">
        <v>932</v>
      </c>
      <c r="BK121" s="35" t="s">
        <v>605</v>
      </c>
      <c r="BL121" s="18" t="s">
        <v>606</v>
      </c>
      <c r="BM121" s="41">
        <f t="shared" si="62"/>
        <v>111871</v>
      </c>
      <c r="BN121" s="37">
        <f t="shared" si="67"/>
        <v>99975</v>
      </c>
    </row>
    <row r="122" spans="1:66" ht="34.5" customHeight="1">
      <c r="A122" s="8" t="s">
        <v>624</v>
      </c>
      <c r="B122" s="36" t="s">
        <v>625</v>
      </c>
      <c r="C122" s="60">
        <v>382</v>
      </c>
      <c r="D122" s="29" t="s">
        <v>644</v>
      </c>
      <c r="E122" s="39">
        <v>20818.718136189986</v>
      </c>
      <c r="F122" s="19">
        <f t="shared" si="68"/>
        <v>2081.8718136189987</v>
      </c>
      <c r="G122" s="19">
        <f t="shared" si="69"/>
        <v>395.55564458760978</v>
      </c>
      <c r="H122" s="19">
        <f t="shared" si="70"/>
        <v>23296.145594396596</v>
      </c>
      <c r="J122" s="8">
        <f t="shared" si="36"/>
        <v>11</v>
      </c>
      <c r="K122" s="92">
        <v>6</v>
      </c>
      <c r="L122" s="92">
        <v>3</v>
      </c>
      <c r="M122" s="92">
        <v>1</v>
      </c>
      <c r="N122" s="92"/>
      <c r="O122" s="92">
        <v>1</v>
      </c>
      <c r="P122" s="92"/>
      <c r="Q122" s="92"/>
      <c r="R122" s="92"/>
      <c r="S122" s="92"/>
      <c r="T122" s="92"/>
      <c r="U122" s="92"/>
      <c r="V122" s="92"/>
      <c r="W122" s="92"/>
      <c r="X122" s="92"/>
      <c r="Y122" s="92"/>
      <c r="Z122" s="92"/>
      <c r="AA122" s="92"/>
      <c r="AB122" s="92"/>
      <c r="AC122" s="92"/>
      <c r="AD122" s="92"/>
      <c r="AE122" s="92"/>
      <c r="AF122" s="92"/>
      <c r="AG122" s="92"/>
      <c r="AH122" s="92"/>
      <c r="AI122" s="92"/>
      <c r="AK122" s="20">
        <f t="shared" si="66"/>
        <v>139777</v>
      </c>
      <c r="AL122" s="20">
        <f t="shared" si="38"/>
        <v>69888</v>
      </c>
      <c r="AM122" s="20">
        <f t="shared" si="39"/>
        <v>23296</v>
      </c>
      <c r="AN122" s="20">
        <f t="shared" si="40"/>
        <v>0</v>
      </c>
      <c r="AO122" s="20">
        <f t="shared" si="41"/>
        <v>23296</v>
      </c>
      <c r="AP122" s="20">
        <f t="shared" si="42"/>
        <v>0</v>
      </c>
      <c r="AQ122" s="20">
        <f t="shared" si="43"/>
        <v>0</v>
      </c>
      <c r="AR122" s="20">
        <f t="shared" si="44"/>
        <v>0</v>
      </c>
      <c r="AS122" s="20">
        <f t="shared" si="45"/>
        <v>0</v>
      </c>
      <c r="AT122" s="20">
        <f t="shared" si="46"/>
        <v>0</v>
      </c>
      <c r="AU122" s="20">
        <f t="shared" si="47"/>
        <v>0</v>
      </c>
      <c r="AV122" s="20">
        <f t="shared" si="48"/>
        <v>0</v>
      </c>
      <c r="AW122" s="20">
        <f t="shared" si="49"/>
        <v>0</v>
      </c>
      <c r="AX122" s="20">
        <f t="shared" si="50"/>
        <v>0</v>
      </c>
      <c r="AY122" s="20">
        <f t="shared" si="51"/>
        <v>0</v>
      </c>
      <c r="AZ122" s="20">
        <f t="shared" si="52"/>
        <v>0</v>
      </c>
      <c r="BA122" s="20">
        <f t="shared" si="53"/>
        <v>0</v>
      </c>
      <c r="BB122" s="20">
        <f t="shared" si="54"/>
        <v>0</v>
      </c>
      <c r="BC122" s="20">
        <f t="shared" si="55"/>
        <v>0</v>
      </c>
      <c r="BD122" s="20">
        <f t="shared" si="56"/>
        <v>0</v>
      </c>
      <c r="BE122" s="20">
        <f t="shared" si="57"/>
        <v>0</v>
      </c>
      <c r="BF122" s="20">
        <f t="shared" si="58"/>
        <v>0</v>
      </c>
      <c r="BG122" s="20">
        <f t="shared" si="59"/>
        <v>0</v>
      </c>
      <c r="BH122" s="20">
        <f t="shared" si="60"/>
        <v>0</v>
      </c>
      <c r="BI122" s="20">
        <f t="shared" si="61"/>
        <v>0</v>
      </c>
      <c r="BJ122" s="36" t="s">
        <v>936</v>
      </c>
      <c r="BK122" s="17" t="s">
        <v>624</v>
      </c>
      <c r="BL122" s="36" t="s">
        <v>625</v>
      </c>
      <c r="BM122" s="41">
        <f t="shared" si="62"/>
        <v>256257</v>
      </c>
      <c r="BN122" s="37">
        <f t="shared" si="67"/>
        <v>229006</v>
      </c>
    </row>
    <row r="123" spans="1:66" ht="34.5" customHeight="1">
      <c r="A123" s="8" t="s">
        <v>624</v>
      </c>
      <c r="B123" s="36" t="s">
        <v>625</v>
      </c>
      <c r="C123" s="60">
        <v>384</v>
      </c>
      <c r="D123" s="29" t="s">
        <v>645</v>
      </c>
      <c r="E123" s="39">
        <v>57154.807370937808</v>
      </c>
      <c r="F123" s="19">
        <f t="shared" si="68"/>
        <v>5715.4807370937815</v>
      </c>
      <c r="G123" s="19">
        <f t="shared" si="69"/>
        <v>1085.9413400478186</v>
      </c>
      <c r="H123" s="19">
        <f t="shared" si="70"/>
        <v>63956.229448079401</v>
      </c>
      <c r="J123" s="8">
        <f t="shared" si="36"/>
        <v>11</v>
      </c>
      <c r="K123" s="92">
        <v>3</v>
      </c>
      <c r="L123" s="92"/>
      <c r="M123" s="92">
        <v>2</v>
      </c>
      <c r="N123" s="92">
        <v>1</v>
      </c>
      <c r="O123" s="92"/>
      <c r="P123" s="92"/>
      <c r="Q123" s="92"/>
      <c r="R123" s="92"/>
      <c r="S123" s="92"/>
      <c r="T123" s="92"/>
      <c r="U123" s="92"/>
      <c r="V123" s="92"/>
      <c r="W123" s="92"/>
      <c r="X123" s="92"/>
      <c r="Y123" s="92"/>
      <c r="Z123" s="92"/>
      <c r="AA123" s="92"/>
      <c r="AB123" s="92">
        <v>2</v>
      </c>
      <c r="AC123" s="92"/>
      <c r="AD123" s="92">
        <v>1</v>
      </c>
      <c r="AE123" s="92">
        <v>1</v>
      </c>
      <c r="AF123" s="92">
        <v>1</v>
      </c>
      <c r="AG123" s="92"/>
      <c r="AH123" s="92"/>
      <c r="AI123" s="92"/>
      <c r="AK123" s="20">
        <f t="shared" si="66"/>
        <v>191869</v>
      </c>
      <c r="AL123" s="20">
        <f t="shared" si="38"/>
        <v>0</v>
      </c>
      <c r="AM123" s="20">
        <f t="shared" si="39"/>
        <v>127912</v>
      </c>
      <c r="AN123" s="20">
        <f t="shared" si="40"/>
        <v>63956</v>
      </c>
      <c r="AO123" s="20">
        <f t="shared" si="41"/>
        <v>0</v>
      </c>
      <c r="AP123" s="20">
        <f t="shared" si="42"/>
        <v>0</v>
      </c>
      <c r="AQ123" s="20">
        <f t="shared" si="43"/>
        <v>0</v>
      </c>
      <c r="AR123" s="20">
        <f t="shared" si="44"/>
        <v>0</v>
      </c>
      <c r="AS123" s="20">
        <f t="shared" si="45"/>
        <v>0</v>
      </c>
      <c r="AT123" s="20">
        <f t="shared" si="46"/>
        <v>0</v>
      </c>
      <c r="AU123" s="20">
        <f t="shared" si="47"/>
        <v>0</v>
      </c>
      <c r="AV123" s="20">
        <f t="shared" si="48"/>
        <v>0</v>
      </c>
      <c r="AW123" s="20">
        <f t="shared" si="49"/>
        <v>0</v>
      </c>
      <c r="AX123" s="20">
        <f t="shared" si="50"/>
        <v>0</v>
      </c>
      <c r="AY123" s="20">
        <f t="shared" si="51"/>
        <v>0</v>
      </c>
      <c r="AZ123" s="20">
        <f t="shared" si="52"/>
        <v>0</v>
      </c>
      <c r="BA123" s="20">
        <f t="shared" si="53"/>
        <v>0</v>
      </c>
      <c r="BB123" s="20">
        <f t="shared" si="54"/>
        <v>127912</v>
      </c>
      <c r="BC123" s="20">
        <f t="shared" si="55"/>
        <v>0</v>
      </c>
      <c r="BD123" s="20">
        <f t="shared" si="56"/>
        <v>63956</v>
      </c>
      <c r="BE123" s="20">
        <f t="shared" si="57"/>
        <v>63956</v>
      </c>
      <c r="BF123" s="20">
        <f t="shared" si="58"/>
        <v>63956</v>
      </c>
      <c r="BG123" s="20">
        <f t="shared" si="59"/>
        <v>0</v>
      </c>
      <c r="BH123" s="20">
        <f t="shared" si="60"/>
        <v>0</v>
      </c>
      <c r="BI123" s="20">
        <f t="shared" si="61"/>
        <v>0</v>
      </c>
      <c r="BJ123" s="36" t="s">
        <v>936</v>
      </c>
      <c r="BK123" s="17" t="s">
        <v>624</v>
      </c>
      <c r="BL123" s="36" t="s">
        <v>625</v>
      </c>
      <c r="BM123" s="41">
        <f t="shared" si="62"/>
        <v>703517</v>
      </c>
      <c r="BN123" s="37">
        <f t="shared" si="67"/>
        <v>628703</v>
      </c>
    </row>
    <row r="124" spans="1:66" ht="34.5" customHeight="1">
      <c r="A124" s="8" t="s">
        <v>624</v>
      </c>
      <c r="B124" s="36" t="s">
        <v>625</v>
      </c>
      <c r="C124" s="60">
        <v>386</v>
      </c>
      <c r="D124" s="29" t="s">
        <v>646</v>
      </c>
      <c r="E124" s="39">
        <v>58669.589097129443</v>
      </c>
      <c r="F124" s="19">
        <f t="shared" si="68"/>
        <v>5866.9589097129447</v>
      </c>
      <c r="G124" s="19">
        <f t="shared" si="69"/>
        <v>1114.7221928454594</v>
      </c>
      <c r="H124" s="19">
        <f t="shared" si="70"/>
        <v>65651.270199687846</v>
      </c>
      <c r="J124" s="8">
        <f t="shared" si="36"/>
        <v>7</v>
      </c>
      <c r="K124" s="92"/>
      <c r="L124" s="92"/>
      <c r="M124" s="92"/>
      <c r="N124" s="92"/>
      <c r="O124" s="92"/>
      <c r="P124" s="92"/>
      <c r="Q124" s="92"/>
      <c r="R124" s="92"/>
      <c r="S124" s="92"/>
      <c r="T124" s="92"/>
      <c r="U124" s="92"/>
      <c r="V124" s="92">
        <v>1</v>
      </c>
      <c r="W124" s="92">
        <v>1</v>
      </c>
      <c r="X124" s="92">
        <v>1</v>
      </c>
      <c r="Y124" s="92">
        <v>1</v>
      </c>
      <c r="Z124" s="92"/>
      <c r="AA124" s="92"/>
      <c r="AB124" s="92"/>
      <c r="AC124" s="92">
        <v>1</v>
      </c>
      <c r="AD124" s="92"/>
      <c r="AE124" s="92"/>
      <c r="AF124" s="92"/>
      <c r="AG124" s="92">
        <v>1</v>
      </c>
      <c r="AH124" s="92">
        <v>1</v>
      </c>
      <c r="AI124" s="92"/>
      <c r="AK124" s="20">
        <f t="shared" si="66"/>
        <v>0</v>
      </c>
      <c r="AL124" s="20">
        <f t="shared" si="38"/>
        <v>0</v>
      </c>
      <c r="AM124" s="20">
        <f t="shared" si="39"/>
        <v>0</v>
      </c>
      <c r="AN124" s="20">
        <f t="shared" si="40"/>
        <v>0</v>
      </c>
      <c r="AO124" s="20">
        <f t="shared" si="41"/>
        <v>0</v>
      </c>
      <c r="AP124" s="20">
        <f t="shared" si="42"/>
        <v>0</v>
      </c>
      <c r="AQ124" s="20">
        <f t="shared" si="43"/>
        <v>0</v>
      </c>
      <c r="AR124" s="20">
        <f t="shared" si="44"/>
        <v>0</v>
      </c>
      <c r="AS124" s="20">
        <f t="shared" si="45"/>
        <v>0</v>
      </c>
      <c r="AT124" s="20">
        <f t="shared" si="46"/>
        <v>0</v>
      </c>
      <c r="AU124" s="20">
        <f t="shared" si="47"/>
        <v>0</v>
      </c>
      <c r="AV124" s="20">
        <f t="shared" si="48"/>
        <v>65651</v>
      </c>
      <c r="AW124" s="20">
        <f t="shared" si="49"/>
        <v>65651</v>
      </c>
      <c r="AX124" s="20">
        <f t="shared" si="50"/>
        <v>65651</v>
      </c>
      <c r="AY124" s="20">
        <f t="shared" si="51"/>
        <v>65651</v>
      </c>
      <c r="AZ124" s="20">
        <f t="shared" si="52"/>
        <v>0</v>
      </c>
      <c r="BA124" s="20">
        <f t="shared" si="53"/>
        <v>0</v>
      </c>
      <c r="BB124" s="20">
        <f t="shared" si="54"/>
        <v>0</v>
      </c>
      <c r="BC124" s="20">
        <f t="shared" si="55"/>
        <v>65651</v>
      </c>
      <c r="BD124" s="20">
        <f t="shared" si="56"/>
        <v>0</v>
      </c>
      <c r="BE124" s="20">
        <f t="shared" si="57"/>
        <v>0</v>
      </c>
      <c r="BF124" s="20">
        <f t="shared" si="58"/>
        <v>0</v>
      </c>
      <c r="BG124" s="20">
        <f t="shared" si="59"/>
        <v>65651</v>
      </c>
      <c r="BH124" s="20">
        <f t="shared" si="60"/>
        <v>65651</v>
      </c>
      <c r="BI124" s="20">
        <f t="shared" si="61"/>
        <v>0</v>
      </c>
      <c r="BJ124" s="36" t="s">
        <v>936</v>
      </c>
      <c r="BK124" s="17" t="s">
        <v>624</v>
      </c>
      <c r="BL124" s="36" t="s">
        <v>625</v>
      </c>
      <c r="BM124" s="41">
        <f t="shared" si="62"/>
        <v>459557</v>
      </c>
      <c r="BN124" s="37">
        <f t="shared" si="67"/>
        <v>410687</v>
      </c>
    </row>
    <row r="125" spans="1:66" ht="34.5" customHeight="1">
      <c r="A125" s="8" t="s">
        <v>624</v>
      </c>
      <c r="B125" s="36" t="s">
        <v>625</v>
      </c>
      <c r="C125" s="60">
        <v>388</v>
      </c>
      <c r="D125" s="29" t="s">
        <v>647</v>
      </c>
      <c r="E125" s="39">
        <v>90885.347555343687</v>
      </c>
      <c r="F125" s="19">
        <f t="shared" si="68"/>
        <v>9088.5347555343687</v>
      </c>
      <c r="G125" s="19">
        <f t="shared" si="69"/>
        <v>1726.8216035515302</v>
      </c>
      <c r="H125" s="19">
        <f t="shared" si="70"/>
        <v>101700.70391442958</v>
      </c>
      <c r="J125" s="8">
        <f t="shared" si="36"/>
        <v>19</v>
      </c>
      <c r="K125" s="92">
        <v>6</v>
      </c>
      <c r="L125" s="92">
        <v>1</v>
      </c>
      <c r="M125" s="92"/>
      <c r="N125" s="92"/>
      <c r="O125" s="92">
        <v>1</v>
      </c>
      <c r="P125" s="92">
        <v>1</v>
      </c>
      <c r="Q125" s="92">
        <v>1</v>
      </c>
      <c r="R125" s="92">
        <v>2</v>
      </c>
      <c r="S125" s="92">
        <v>1</v>
      </c>
      <c r="T125" s="92">
        <v>2</v>
      </c>
      <c r="U125" s="92">
        <v>1</v>
      </c>
      <c r="V125" s="92">
        <v>1</v>
      </c>
      <c r="W125" s="92"/>
      <c r="X125" s="92"/>
      <c r="Y125" s="92"/>
      <c r="Z125" s="92">
        <v>1</v>
      </c>
      <c r="AA125" s="92">
        <v>1</v>
      </c>
      <c r="AB125" s="92"/>
      <c r="AC125" s="92"/>
      <c r="AD125" s="92"/>
      <c r="AE125" s="92"/>
      <c r="AF125" s="92"/>
      <c r="AG125" s="92"/>
      <c r="AH125" s="92"/>
      <c r="AI125" s="92"/>
      <c r="AK125" s="20">
        <f t="shared" si="66"/>
        <v>610204</v>
      </c>
      <c r="AL125" s="20">
        <f t="shared" si="38"/>
        <v>101701</v>
      </c>
      <c r="AM125" s="20">
        <f t="shared" si="39"/>
        <v>0</v>
      </c>
      <c r="AN125" s="20">
        <f t="shared" si="40"/>
        <v>0</v>
      </c>
      <c r="AO125" s="20">
        <f t="shared" si="41"/>
        <v>101701</v>
      </c>
      <c r="AP125" s="20">
        <f t="shared" si="42"/>
        <v>101701</v>
      </c>
      <c r="AQ125" s="20">
        <f t="shared" si="43"/>
        <v>101701</v>
      </c>
      <c r="AR125" s="20">
        <f t="shared" si="44"/>
        <v>203401</v>
      </c>
      <c r="AS125" s="20">
        <f t="shared" si="45"/>
        <v>101701</v>
      </c>
      <c r="AT125" s="20">
        <f t="shared" si="46"/>
        <v>203401</v>
      </c>
      <c r="AU125" s="20">
        <f t="shared" si="47"/>
        <v>101701</v>
      </c>
      <c r="AV125" s="20">
        <f t="shared" si="48"/>
        <v>101701</v>
      </c>
      <c r="AW125" s="20">
        <f t="shared" si="49"/>
        <v>0</v>
      </c>
      <c r="AX125" s="20">
        <f t="shared" si="50"/>
        <v>0</v>
      </c>
      <c r="AY125" s="20">
        <f t="shared" si="51"/>
        <v>0</v>
      </c>
      <c r="AZ125" s="20">
        <f t="shared" si="52"/>
        <v>101701</v>
      </c>
      <c r="BA125" s="20">
        <f t="shared" si="53"/>
        <v>101701</v>
      </c>
      <c r="BB125" s="20">
        <f t="shared" si="54"/>
        <v>0</v>
      </c>
      <c r="BC125" s="20">
        <f t="shared" si="55"/>
        <v>0</v>
      </c>
      <c r="BD125" s="20">
        <f t="shared" si="56"/>
        <v>0</v>
      </c>
      <c r="BE125" s="20">
        <f t="shared" si="57"/>
        <v>0</v>
      </c>
      <c r="BF125" s="20">
        <f t="shared" si="58"/>
        <v>0</v>
      </c>
      <c r="BG125" s="20">
        <f t="shared" si="59"/>
        <v>0</v>
      </c>
      <c r="BH125" s="20">
        <f t="shared" si="60"/>
        <v>0</v>
      </c>
      <c r="BI125" s="20">
        <f t="shared" si="61"/>
        <v>0</v>
      </c>
      <c r="BJ125" s="36" t="s">
        <v>936</v>
      </c>
      <c r="BK125" s="17" t="s">
        <v>624</v>
      </c>
      <c r="BL125" s="36" t="s">
        <v>625</v>
      </c>
      <c r="BM125" s="41">
        <f t="shared" si="62"/>
        <v>1932315</v>
      </c>
      <c r="BN125" s="37">
        <f t="shared" si="67"/>
        <v>1726822</v>
      </c>
    </row>
    <row r="126" spans="1:66" ht="34.5" customHeight="1">
      <c r="A126" s="8" t="s">
        <v>624</v>
      </c>
      <c r="B126" s="36" t="s">
        <v>625</v>
      </c>
      <c r="C126" s="60">
        <v>390</v>
      </c>
      <c r="D126" s="29" t="s">
        <v>648</v>
      </c>
      <c r="E126" s="39">
        <v>51754.653307508881</v>
      </c>
      <c r="F126" s="19">
        <f t="shared" si="68"/>
        <v>5175.4653307508888</v>
      </c>
      <c r="G126" s="19">
        <f t="shared" si="69"/>
        <v>983.33841284266884</v>
      </c>
      <c r="H126" s="19">
        <f t="shared" si="70"/>
        <v>57913.457051102436</v>
      </c>
      <c r="J126" s="8">
        <f t="shared" si="36"/>
        <v>5</v>
      </c>
      <c r="K126" s="92">
        <v>1</v>
      </c>
      <c r="L126" s="92">
        <v>1</v>
      </c>
      <c r="M126" s="92"/>
      <c r="N126" s="92"/>
      <c r="O126" s="92"/>
      <c r="P126" s="92"/>
      <c r="Q126" s="92"/>
      <c r="R126" s="92"/>
      <c r="S126" s="92"/>
      <c r="T126" s="92"/>
      <c r="U126" s="92"/>
      <c r="V126" s="92"/>
      <c r="W126" s="92"/>
      <c r="X126" s="92"/>
      <c r="Y126" s="92"/>
      <c r="Z126" s="92"/>
      <c r="AA126" s="92"/>
      <c r="AB126" s="92">
        <v>1</v>
      </c>
      <c r="AC126" s="92">
        <v>1</v>
      </c>
      <c r="AD126" s="92"/>
      <c r="AE126" s="92"/>
      <c r="AF126" s="92"/>
      <c r="AG126" s="92"/>
      <c r="AH126" s="92"/>
      <c r="AI126" s="92">
        <v>1</v>
      </c>
      <c r="AK126" s="20">
        <f t="shared" si="66"/>
        <v>57913</v>
      </c>
      <c r="AL126" s="20">
        <f t="shared" si="38"/>
        <v>57913</v>
      </c>
      <c r="AM126" s="20">
        <f t="shared" si="39"/>
        <v>0</v>
      </c>
      <c r="AN126" s="20">
        <f t="shared" si="40"/>
        <v>0</v>
      </c>
      <c r="AO126" s="20">
        <f t="shared" si="41"/>
        <v>0</v>
      </c>
      <c r="AP126" s="20">
        <f t="shared" si="42"/>
        <v>0</v>
      </c>
      <c r="AQ126" s="20">
        <f t="shared" si="43"/>
        <v>0</v>
      </c>
      <c r="AR126" s="20">
        <f t="shared" si="44"/>
        <v>0</v>
      </c>
      <c r="AS126" s="20">
        <f t="shared" si="45"/>
        <v>0</v>
      </c>
      <c r="AT126" s="20">
        <f t="shared" si="46"/>
        <v>0</v>
      </c>
      <c r="AU126" s="20">
        <f t="shared" si="47"/>
        <v>0</v>
      </c>
      <c r="AV126" s="20">
        <f t="shared" si="48"/>
        <v>0</v>
      </c>
      <c r="AW126" s="20">
        <f t="shared" si="49"/>
        <v>0</v>
      </c>
      <c r="AX126" s="20">
        <f t="shared" si="50"/>
        <v>0</v>
      </c>
      <c r="AY126" s="20">
        <f t="shared" si="51"/>
        <v>0</v>
      </c>
      <c r="AZ126" s="20">
        <f t="shared" si="52"/>
        <v>0</v>
      </c>
      <c r="BA126" s="20">
        <f t="shared" si="53"/>
        <v>0</v>
      </c>
      <c r="BB126" s="20">
        <f t="shared" si="54"/>
        <v>57913</v>
      </c>
      <c r="BC126" s="20">
        <f t="shared" si="55"/>
        <v>57913</v>
      </c>
      <c r="BD126" s="20">
        <f t="shared" si="56"/>
        <v>0</v>
      </c>
      <c r="BE126" s="20">
        <f t="shared" si="57"/>
        <v>0</v>
      </c>
      <c r="BF126" s="20">
        <f t="shared" si="58"/>
        <v>0</v>
      </c>
      <c r="BG126" s="20">
        <f t="shared" si="59"/>
        <v>0</v>
      </c>
      <c r="BH126" s="20">
        <f t="shared" si="60"/>
        <v>0</v>
      </c>
      <c r="BI126" s="20">
        <f t="shared" si="61"/>
        <v>57913</v>
      </c>
      <c r="BJ126" s="36" t="s">
        <v>936</v>
      </c>
      <c r="BK126" s="17" t="s">
        <v>624</v>
      </c>
      <c r="BL126" s="36" t="s">
        <v>625</v>
      </c>
      <c r="BM126" s="41">
        <f t="shared" si="62"/>
        <v>289565</v>
      </c>
      <c r="BN126" s="37">
        <f t="shared" si="67"/>
        <v>258773</v>
      </c>
    </row>
    <row r="127" spans="1:66" ht="34.5" customHeight="1">
      <c r="A127" s="8" t="s">
        <v>624</v>
      </c>
      <c r="B127" s="36" t="s">
        <v>625</v>
      </c>
      <c r="C127" s="60">
        <v>394</v>
      </c>
      <c r="D127" s="29" t="s">
        <v>649</v>
      </c>
      <c r="E127" s="39">
        <v>67888.206803161622</v>
      </c>
      <c r="F127" s="19">
        <f t="shared" si="68"/>
        <v>6788.8206803161629</v>
      </c>
      <c r="G127" s="19">
        <f t="shared" si="69"/>
        <v>1289.875929260071</v>
      </c>
      <c r="H127" s="19">
        <f t="shared" si="70"/>
        <v>75966.903412737855</v>
      </c>
      <c r="J127" s="8">
        <f t="shared" si="36"/>
        <v>6</v>
      </c>
      <c r="K127" s="92">
        <v>6</v>
      </c>
      <c r="L127" s="92"/>
      <c r="M127" s="92"/>
      <c r="N127" s="92"/>
      <c r="O127" s="92"/>
      <c r="P127" s="92"/>
      <c r="Q127" s="92"/>
      <c r="R127" s="92"/>
      <c r="S127" s="92"/>
      <c r="T127" s="92"/>
      <c r="U127" s="92"/>
      <c r="V127" s="92"/>
      <c r="W127" s="92"/>
      <c r="X127" s="92"/>
      <c r="Y127" s="92"/>
      <c r="Z127" s="92"/>
      <c r="AA127" s="92"/>
      <c r="AB127" s="92"/>
      <c r="AC127" s="92"/>
      <c r="AD127" s="92"/>
      <c r="AE127" s="92"/>
      <c r="AF127" s="92"/>
      <c r="AG127" s="92"/>
      <c r="AH127" s="92"/>
      <c r="AI127" s="92"/>
      <c r="AK127" s="20">
        <f t="shared" si="66"/>
        <v>455801</v>
      </c>
      <c r="AL127" s="20">
        <f t="shared" si="38"/>
        <v>0</v>
      </c>
      <c r="AM127" s="20">
        <f t="shared" si="39"/>
        <v>0</v>
      </c>
      <c r="AN127" s="20">
        <f t="shared" si="40"/>
        <v>0</v>
      </c>
      <c r="AO127" s="20">
        <f t="shared" si="41"/>
        <v>0</v>
      </c>
      <c r="AP127" s="20">
        <f t="shared" si="42"/>
        <v>0</v>
      </c>
      <c r="AQ127" s="20">
        <f t="shared" si="43"/>
        <v>0</v>
      </c>
      <c r="AR127" s="20">
        <f t="shared" si="44"/>
        <v>0</v>
      </c>
      <c r="AS127" s="20">
        <f t="shared" si="45"/>
        <v>0</v>
      </c>
      <c r="AT127" s="20">
        <f t="shared" si="46"/>
        <v>0</v>
      </c>
      <c r="AU127" s="20">
        <f t="shared" si="47"/>
        <v>0</v>
      </c>
      <c r="AV127" s="20">
        <f t="shared" si="48"/>
        <v>0</v>
      </c>
      <c r="AW127" s="20">
        <f t="shared" si="49"/>
        <v>0</v>
      </c>
      <c r="AX127" s="20">
        <f t="shared" si="50"/>
        <v>0</v>
      </c>
      <c r="AY127" s="20">
        <f t="shared" si="51"/>
        <v>0</v>
      </c>
      <c r="AZ127" s="20">
        <f t="shared" si="52"/>
        <v>0</v>
      </c>
      <c r="BA127" s="20">
        <f t="shared" si="53"/>
        <v>0</v>
      </c>
      <c r="BB127" s="20">
        <f t="shared" si="54"/>
        <v>0</v>
      </c>
      <c r="BC127" s="20">
        <f t="shared" si="55"/>
        <v>0</v>
      </c>
      <c r="BD127" s="20">
        <f t="shared" si="56"/>
        <v>0</v>
      </c>
      <c r="BE127" s="20">
        <f t="shared" si="57"/>
        <v>0</v>
      </c>
      <c r="BF127" s="20">
        <f t="shared" si="58"/>
        <v>0</v>
      </c>
      <c r="BG127" s="20">
        <f t="shared" si="59"/>
        <v>0</v>
      </c>
      <c r="BH127" s="20">
        <f t="shared" si="60"/>
        <v>0</v>
      </c>
      <c r="BI127" s="20">
        <f t="shared" si="61"/>
        <v>0</v>
      </c>
      <c r="BJ127" s="36" t="s">
        <v>936</v>
      </c>
      <c r="BK127" s="17" t="s">
        <v>624</v>
      </c>
      <c r="BL127" s="36" t="s">
        <v>625</v>
      </c>
      <c r="BM127" s="41">
        <f t="shared" si="62"/>
        <v>455801</v>
      </c>
      <c r="BN127" s="37">
        <f t="shared" si="67"/>
        <v>407329</v>
      </c>
    </row>
    <row r="128" spans="1:66" ht="44.25" customHeight="1">
      <c r="A128" s="34" t="s">
        <v>605</v>
      </c>
      <c r="B128" s="18" t="s">
        <v>606</v>
      </c>
      <c r="C128" s="60">
        <v>396</v>
      </c>
      <c r="D128" s="29" t="s">
        <v>650</v>
      </c>
      <c r="E128" s="39">
        <v>33069.700123683135</v>
      </c>
      <c r="F128" s="19">
        <f t="shared" si="68"/>
        <v>3306.9700123683137</v>
      </c>
      <c r="G128" s="19">
        <f t="shared" si="69"/>
        <v>628.32430234997958</v>
      </c>
      <c r="H128" s="19">
        <f t="shared" si="70"/>
        <v>37004.994438401431</v>
      </c>
      <c r="J128" s="8">
        <f t="shared" si="36"/>
        <v>2</v>
      </c>
      <c r="K128" s="92">
        <v>1</v>
      </c>
      <c r="L128" s="92"/>
      <c r="M128" s="92">
        <v>1</v>
      </c>
      <c r="N128" s="92"/>
      <c r="O128" s="92"/>
      <c r="P128" s="92"/>
      <c r="Q128" s="92"/>
      <c r="R128" s="92"/>
      <c r="S128" s="92"/>
      <c r="T128" s="92"/>
      <c r="U128" s="92"/>
      <c r="V128" s="92"/>
      <c r="W128" s="92"/>
      <c r="X128" s="92"/>
      <c r="Y128" s="92"/>
      <c r="Z128" s="92"/>
      <c r="AA128" s="92"/>
      <c r="AB128" s="92"/>
      <c r="AC128" s="92"/>
      <c r="AD128" s="92"/>
      <c r="AE128" s="92"/>
      <c r="AF128" s="92"/>
      <c r="AG128" s="92"/>
      <c r="AH128" s="92"/>
      <c r="AI128" s="92"/>
      <c r="AK128" s="20">
        <f t="shared" si="66"/>
        <v>37005</v>
      </c>
      <c r="AL128" s="20">
        <f t="shared" si="38"/>
        <v>0</v>
      </c>
      <c r="AM128" s="20">
        <f t="shared" si="39"/>
        <v>37005</v>
      </c>
      <c r="AN128" s="20">
        <f t="shared" si="40"/>
        <v>0</v>
      </c>
      <c r="AO128" s="20">
        <f t="shared" si="41"/>
        <v>0</v>
      </c>
      <c r="AP128" s="20">
        <f t="shared" si="42"/>
        <v>0</v>
      </c>
      <c r="AQ128" s="20">
        <f t="shared" si="43"/>
        <v>0</v>
      </c>
      <c r="AR128" s="20">
        <f t="shared" si="44"/>
        <v>0</v>
      </c>
      <c r="AS128" s="20">
        <f t="shared" si="45"/>
        <v>0</v>
      </c>
      <c r="AT128" s="20">
        <f t="shared" si="46"/>
        <v>0</v>
      </c>
      <c r="AU128" s="20">
        <f t="shared" si="47"/>
        <v>0</v>
      </c>
      <c r="AV128" s="20">
        <f t="shared" si="48"/>
        <v>0</v>
      </c>
      <c r="AW128" s="20">
        <f t="shared" si="49"/>
        <v>0</v>
      </c>
      <c r="AX128" s="20">
        <f t="shared" si="50"/>
        <v>0</v>
      </c>
      <c r="AY128" s="20">
        <f t="shared" si="51"/>
        <v>0</v>
      </c>
      <c r="AZ128" s="20">
        <f t="shared" si="52"/>
        <v>0</v>
      </c>
      <c r="BA128" s="20">
        <f t="shared" si="53"/>
        <v>0</v>
      </c>
      <c r="BB128" s="20">
        <f t="shared" si="54"/>
        <v>0</v>
      </c>
      <c r="BC128" s="20">
        <f t="shared" si="55"/>
        <v>0</v>
      </c>
      <c r="BD128" s="20">
        <f t="shared" si="56"/>
        <v>0</v>
      </c>
      <c r="BE128" s="20">
        <f t="shared" si="57"/>
        <v>0</v>
      </c>
      <c r="BF128" s="20">
        <f t="shared" si="58"/>
        <v>0</v>
      </c>
      <c r="BG128" s="20">
        <f t="shared" si="59"/>
        <v>0</v>
      </c>
      <c r="BH128" s="20">
        <f t="shared" si="60"/>
        <v>0</v>
      </c>
      <c r="BI128" s="20">
        <f t="shared" si="61"/>
        <v>0</v>
      </c>
      <c r="BJ128" s="18" t="s">
        <v>932</v>
      </c>
      <c r="BK128" s="35" t="s">
        <v>605</v>
      </c>
      <c r="BL128" s="18" t="s">
        <v>606</v>
      </c>
      <c r="BM128" s="41">
        <f t="shared" si="62"/>
        <v>74010</v>
      </c>
      <c r="BN128" s="37">
        <f t="shared" si="67"/>
        <v>66139</v>
      </c>
    </row>
    <row r="129" spans="1:66" ht="34.5" customHeight="1">
      <c r="A129" s="34" t="s">
        <v>605</v>
      </c>
      <c r="B129" s="18" t="s">
        <v>606</v>
      </c>
      <c r="C129" s="60">
        <v>398</v>
      </c>
      <c r="D129" s="29" t="s">
        <v>651</v>
      </c>
      <c r="E129" s="39">
        <v>3841.4926816865973</v>
      </c>
      <c r="F129" s="19">
        <f t="shared" si="68"/>
        <v>384.14926816865977</v>
      </c>
      <c r="G129" s="19">
        <f t="shared" si="69"/>
        <v>72.988360952045355</v>
      </c>
      <c r="H129" s="19">
        <f t="shared" si="70"/>
        <v>4298.6303108073025</v>
      </c>
      <c r="J129" s="8">
        <f t="shared" si="36"/>
        <v>3</v>
      </c>
      <c r="K129" s="92">
        <v>3</v>
      </c>
      <c r="L129" s="92"/>
      <c r="M129" s="92"/>
      <c r="N129" s="92"/>
      <c r="O129" s="92"/>
      <c r="P129" s="92"/>
      <c r="Q129" s="92"/>
      <c r="R129" s="92"/>
      <c r="S129" s="92"/>
      <c r="T129" s="92"/>
      <c r="U129" s="92"/>
      <c r="V129" s="92"/>
      <c r="W129" s="92"/>
      <c r="X129" s="92"/>
      <c r="Y129" s="92"/>
      <c r="Z129" s="92"/>
      <c r="AA129" s="92"/>
      <c r="AB129" s="92"/>
      <c r="AC129" s="92"/>
      <c r="AD129" s="92"/>
      <c r="AE129" s="92"/>
      <c r="AF129" s="92"/>
      <c r="AG129" s="92"/>
      <c r="AH129" s="92"/>
      <c r="AI129" s="92"/>
      <c r="AK129" s="20">
        <f t="shared" si="66"/>
        <v>12896</v>
      </c>
      <c r="AL129" s="20">
        <f t="shared" si="38"/>
        <v>0</v>
      </c>
      <c r="AM129" s="20">
        <f t="shared" si="39"/>
        <v>0</v>
      </c>
      <c r="AN129" s="20">
        <f t="shared" si="40"/>
        <v>0</v>
      </c>
      <c r="AO129" s="20">
        <f t="shared" si="41"/>
        <v>0</v>
      </c>
      <c r="AP129" s="20">
        <f t="shared" si="42"/>
        <v>0</v>
      </c>
      <c r="AQ129" s="20">
        <f t="shared" si="43"/>
        <v>0</v>
      </c>
      <c r="AR129" s="20">
        <f t="shared" si="44"/>
        <v>0</v>
      </c>
      <c r="AS129" s="20">
        <f t="shared" si="45"/>
        <v>0</v>
      </c>
      <c r="AT129" s="20">
        <f t="shared" si="46"/>
        <v>0</v>
      </c>
      <c r="AU129" s="20">
        <f t="shared" si="47"/>
        <v>0</v>
      </c>
      <c r="AV129" s="20">
        <f t="shared" si="48"/>
        <v>0</v>
      </c>
      <c r="AW129" s="20">
        <f t="shared" si="49"/>
        <v>0</v>
      </c>
      <c r="AX129" s="20">
        <f t="shared" si="50"/>
        <v>0</v>
      </c>
      <c r="AY129" s="20">
        <f t="shared" si="51"/>
        <v>0</v>
      </c>
      <c r="AZ129" s="20">
        <f t="shared" si="52"/>
        <v>0</v>
      </c>
      <c r="BA129" s="20">
        <f t="shared" si="53"/>
        <v>0</v>
      </c>
      <c r="BB129" s="20">
        <f t="shared" si="54"/>
        <v>0</v>
      </c>
      <c r="BC129" s="20">
        <f t="shared" si="55"/>
        <v>0</v>
      </c>
      <c r="BD129" s="20">
        <f t="shared" si="56"/>
        <v>0</v>
      </c>
      <c r="BE129" s="20">
        <f t="shared" si="57"/>
        <v>0</v>
      </c>
      <c r="BF129" s="20">
        <f t="shared" si="58"/>
        <v>0</v>
      </c>
      <c r="BG129" s="20">
        <f t="shared" si="59"/>
        <v>0</v>
      </c>
      <c r="BH129" s="20">
        <f t="shared" si="60"/>
        <v>0</v>
      </c>
      <c r="BI129" s="20">
        <f t="shared" si="61"/>
        <v>0</v>
      </c>
      <c r="BJ129" s="18" t="s">
        <v>932</v>
      </c>
      <c r="BK129" s="35" t="s">
        <v>605</v>
      </c>
      <c r="BL129" s="18" t="s">
        <v>606</v>
      </c>
      <c r="BM129" s="41">
        <f t="shared" si="62"/>
        <v>12896</v>
      </c>
      <c r="BN129" s="37">
        <f t="shared" si="67"/>
        <v>11524</v>
      </c>
    </row>
    <row r="130" spans="1:66" ht="34.5" customHeight="1">
      <c r="A130" s="34" t="s">
        <v>605</v>
      </c>
      <c r="B130" s="18" t="s">
        <v>606</v>
      </c>
      <c r="C130" s="60">
        <v>404</v>
      </c>
      <c r="D130" s="29" t="s">
        <v>652</v>
      </c>
      <c r="E130" s="39">
        <v>37480.487249015656</v>
      </c>
      <c r="F130" s="19">
        <f t="shared" si="68"/>
        <v>3748.0487249015659</v>
      </c>
      <c r="G130" s="19">
        <f t="shared" si="69"/>
        <v>712.12925773129757</v>
      </c>
      <c r="H130" s="19">
        <f t="shared" si="70"/>
        <v>41940.66523164852</v>
      </c>
      <c r="J130" s="8">
        <f t="shared" ref="J130" si="71">SUM(K130:AI130)</f>
        <v>3</v>
      </c>
      <c r="K130" s="92">
        <v>1</v>
      </c>
      <c r="L130" s="92">
        <v>1</v>
      </c>
      <c r="M130" s="92">
        <v>1</v>
      </c>
      <c r="N130" s="92"/>
      <c r="O130" s="92"/>
      <c r="P130" s="92"/>
      <c r="Q130" s="92"/>
      <c r="R130" s="92"/>
      <c r="S130" s="92"/>
      <c r="T130" s="92"/>
      <c r="U130" s="92"/>
      <c r="V130" s="92"/>
      <c r="W130" s="92"/>
      <c r="X130" s="92"/>
      <c r="Y130" s="92"/>
      <c r="Z130" s="92"/>
      <c r="AA130" s="92"/>
      <c r="AB130" s="92"/>
      <c r="AC130" s="92"/>
      <c r="AD130" s="92"/>
      <c r="AE130" s="92"/>
      <c r="AF130" s="92"/>
      <c r="AG130" s="92"/>
      <c r="AH130" s="92"/>
      <c r="AI130" s="92"/>
      <c r="AK130" s="20">
        <f t="shared" si="66"/>
        <v>41941</v>
      </c>
      <c r="AL130" s="20">
        <f t="shared" si="38"/>
        <v>41941</v>
      </c>
      <c r="AM130" s="20">
        <f t="shared" si="39"/>
        <v>41941</v>
      </c>
      <c r="AN130" s="20">
        <f t="shared" si="40"/>
        <v>0</v>
      </c>
      <c r="AO130" s="20">
        <f t="shared" si="41"/>
        <v>0</v>
      </c>
      <c r="AP130" s="20">
        <f t="shared" si="42"/>
        <v>0</v>
      </c>
      <c r="AQ130" s="20">
        <f t="shared" si="43"/>
        <v>0</v>
      </c>
      <c r="AR130" s="20">
        <f t="shared" si="44"/>
        <v>0</v>
      </c>
      <c r="AS130" s="20">
        <f t="shared" si="45"/>
        <v>0</v>
      </c>
      <c r="AT130" s="20">
        <f t="shared" si="46"/>
        <v>0</v>
      </c>
      <c r="AU130" s="20">
        <f t="shared" si="47"/>
        <v>0</v>
      </c>
      <c r="AV130" s="20">
        <f t="shared" si="48"/>
        <v>0</v>
      </c>
      <c r="AW130" s="20">
        <f t="shared" si="49"/>
        <v>0</v>
      </c>
      <c r="AX130" s="20">
        <f t="shared" si="50"/>
        <v>0</v>
      </c>
      <c r="AY130" s="20">
        <f t="shared" si="51"/>
        <v>0</v>
      </c>
      <c r="AZ130" s="20">
        <f t="shared" si="52"/>
        <v>0</v>
      </c>
      <c r="BA130" s="20">
        <f t="shared" si="53"/>
        <v>0</v>
      </c>
      <c r="BB130" s="20">
        <f t="shared" si="54"/>
        <v>0</v>
      </c>
      <c r="BC130" s="20">
        <f t="shared" si="55"/>
        <v>0</v>
      </c>
      <c r="BD130" s="20">
        <f t="shared" si="56"/>
        <v>0</v>
      </c>
      <c r="BE130" s="20">
        <f t="shared" si="57"/>
        <v>0</v>
      </c>
      <c r="BF130" s="20">
        <f t="shared" si="58"/>
        <v>0</v>
      </c>
      <c r="BG130" s="20">
        <f t="shared" si="59"/>
        <v>0</v>
      </c>
      <c r="BH130" s="20">
        <f t="shared" si="60"/>
        <v>0</v>
      </c>
      <c r="BI130" s="20">
        <f t="shared" si="61"/>
        <v>0</v>
      </c>
      <c r="BJ130" s="18" t="s">
        <v>932</v>
      </c>
      <c r="BK130" s="35" t="s">
        <v>605</v>
      </c>
      <c r="BL130" s="18" t="s">
        <v>606</v>
      </c>
      <c r="BM130" s="41">
        <f t="shared" si="62"/>
        <v>125823</v>
      </c>
      <c r="BN130" s="37">
        <f t="shared" si="67"/>
        <v>112441</v>
      </c>
    </row>
    <row r="131" spans="1:66">
      <c r="AK131" s="20">
        <f t="shared" ref="AK131:BI131" si="72">SUBTOTAL(9,AK2:AK130)</f>
        <v>20932470</v>
      </c>
      <c r="AL131" s="20">
        <f t="shared" si="72"/>
        <v>3048282</v>
      </c>
      <c r="AM131" s="20">
        <f t="shared" si="72"/>
        <v>2104800</v>
      </c>
      <c r="AN131" s="20">
        <f t="shared" si="72"/>
        <v>415959</v>
      </c>
      <c r="AO131" s="20">
        <f t="shared" si="72"/>
        <v>1340697</v>
      </c>
      <c r="AP131" s="20">
        <f t="shared" si="72"/>
        <v>782703</v>
      </c>
      <c r="AQ131" s="20">
        <f t="shared" si="72"/>
        <v>2694678</v>
      </c>
      <c r="AR131" s="20">
        <f t="shared" si="72"/>
        <v>797092</v>
      </c>
      <c r="AS131" s="20">
        <f t="shared" si="72"/>
        <v>2772527</v>
      </c>
      <c r="AT131" s="20">
        <f t="shared" si="72"/>
        <v>2513636</v>
      </c>
      <c r="AU131" s="20">
        <f t="shared" si="72"/>
        <v>2503016</v>
      </c>
      <c r="AV131" s="20">
        <f t="shared" si="72"/>
        <v>1459447</v>
      </c>
      <c r="AW131" s="20">
        <f t="shared" si="72"/>
        <v>1161431</v>
      </c>
      <c r="AX131" s="20">
        <f t="shared" si="72"/>
        <v>1140962</v>
      </c>
      <c r="AY131" s="20">
        <f t="shared" si="72"/>
        <v>1267322</v>
      </c>
      <c r="AZ131" s="20">
        <f t="shared" si="72"/>
        <v>1355841</v>
      </c>
      <c r="BA131" s="20">
        <f t="shared" si="72"/>
        <v>1498496</v>
      </c>
      <c r="BB131" s="20">
        <f t="shared" si="72"/>
        <v>1886181</v>
      </c>
      <c r="BC131" s="20">
        <f t="shared" si="72"/>
        <v>725824</v>
      </c>
      <c r="BD131" s="20">
        <f t="shared" si="72"/>
        <v>1879830</v>
      </c>
      <c r="BE131" s="20">
        <f t="shared" si="72"/>
        <v>537467</v>
      </c>
      <c r="BF131" s="20">
        <f t="shared" si="72"/>
        <v>452025</v>
      </c>
      <c r="BG131" s="20">
        <f t="shared" si="72"/>
        <v>967794</v>
      </c>
      <c r="BH131" s="20">
        <f t="shared" si="72"/>
        <v>887281</v>
      </c>
      <c r="BI131" s="20">
        <f t="shared" si="72"/>
        <v>1199515</v>
      </c>
      <c r="BM131" s="41">
        <f t="shared" ref="BM131" si="73">+SUM(AK131:BI131)</f>
        <v>56325276</v>
      </c>
      <c r="BN131" s="20">
        <f t="shared" ref="BN131" si="74">SUBTOTAL(9,BN2:BN130)</f>
        <v>50335373</v>
      </c>
    </row>
    <row r="132" spans="1:66">
      <c r="BI132" s="42">
        <f>+SUM(AK131:BI131)</f>
        <v>56325276</v>
      </c>
    </row>
    <row r="134" spans="1:66">
      <c r="L134" s="42"/>
      <c r="BM134" s="42">
        <f>+BM83+BM85</f>
        <v>2768256</v>
      </c>
    </row>
    <row r="135" spans="1:66">
      <c r="BM135" s="42"/>
    </row>
    <row r="136" spans="1:66">
      <c r="AK136" s="42"/>
      <c r="AL136" s="42"/>
      <c r="AM136" s="42"/>
      <c r="AN136" s="42"/>
      <c r="AO136" s="42"/>
      <c r="AP136" s="42"/>
      <c r="AQ136" s="42"/>
      <c r="AR136" s="42"/>
      <c r="AS136" s="42"/>
      <c r="AT136" s="42"/>
      <c r="AU136" s="42"/>
      <c r="AV136" s="42"/>
      <c r="AW136" s="42"/>
      <c r="AX136" s="42"/>
      <c r="AY136" s="42"/>
      <c r="AZ136" s="42"/>
      <c r="BA136" s="42"/>
      <c r="BB136" s="42"/>
      <c r="BC136" s="42"/>
      <c r="BD136" s="42"/>
      <c r="BE136" s="42"/>
      <c r="BF136" s="42"/>
      <c r="BG136" s="42"/>
      <c r="BH136" s="42"/>
      <c r="BI136" s="42"/>
      <c r="BM136" s="42"/>
    </row>
    <row r="137" spans="1:66">
      <c r="BN137" s="42"/>
    </row>
  </sheetData>
  <autoFilter ref="A1:BM130"/>
  <sortState ref="A2:BM255">
    <sortCondition ref="A2:A255"/>
  </sortState>
  <conditionalFormatting sqref="F2:H130 E56:E66 E114:E120 E122:E130">
    <cfRule type="expression" dxfId="8" priority="3">
      <formula>ISERROR($I2)</formula>
    </cfRule>
  </conditionalFormatting>
  <dataValidations count="1">
    <dataValidation operator="lessThan" allowBlank="1" showErrorMessage="1" errorTitle="Error" error="El valor es menor que el minimo permitido" sqref="E56:H66 E114:H120 E122:H130 F121:H121 F67:H113 F2:H55"/>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33"/>
  <sheetViews>
    <sheetView tabSelected="1" topLeftCell="U1" workbookViewId="0">
      <pane ySplit="2" topLeftCell="A27" activePane="bottomLeft" state="frozen"/>
      <selection pane="bottomLeft" activeCell="Z57" sqref="Z57"/>
    </sheetView>
  </sheetViews>
  <sheetFormatPr baseColWidth="10" defaultColWidth="11" defaultRowHeight="11.25"/>
  <cols>
    <col min="1" max="1" width="70.25" style="69" bestFit="1" customWidth="1"/>
    <col min="2" max="19" width="20.25" style="71" customWidth="1"/>
    <col min="20" max="26" width="17.625" style="71" customWidth="1"/>
    <col min="27" max="27" width="12.875" style="72" bestFit="1" customWidth="1"/>
    <col min="28" max="40" width="65" style="72" bestFit="1" customWidth="1"/>
    <col min="41" max="769" width="65" style="69" bestFit="1" customWidth="1"/>
    <col min="770" max="770" width="53.75" style="69" bestFit="1" customWidth="1"/>
    <col min="771" max="771" width="61.75" style="69" bestFit="1" customWidth="1"/>
    <col min="772" max="772" width="71.375" style="69" bestFit="1" customWidth="1"/>
    <col min="773" max="773" width="64.75" style="69" bestFit="1" customWidth="1"/>
    <col min="774" max="774" width="60.125" style="69" bestFit="1" customWidth="1"/>
    <col min="775" max="775" width="53.875" style="69" bestFit="1" customWidth="1"/>
    <col min="776" max="776" width="68.75" style="69" bestFit="1" customWidth="1"/>
    <col min="777" max="777" width="43.875" style="69" bestFit="1" customWidth="1"/>
    <col min="778" max="778" width="46.125" style="69" bestFit="1" customWidth="1"/>
    <col min="779" max="779" width="59.125" style="69" bestFit="1" customWidth="1"/>
    <col min="780" max="780" width="68.375" style="69" bestFit="1" customWidth="1"/>
    <col min="781" max="781" width="43" style="69" bestFit="1" customWidth="1"/>
    <col min="782" max="782" width="48.125" style="69" bestFit="1" customWidth="1"/>
    <col min="783" max="783" width="49.375" style="69" bestFit="1" customWidth="1"/>
    <col min="784" max="784" width="45.625" style="69" bestFit="1" customWidth="1"/>
    <col min="785" max="785" width="40.875" style="69" bestFit="1" customWidth="1"/>
    <col min="786" max="786" width="44.25" style="69" bestFit="1" customWidth="1"/>
    <col min="787" max="787" width="46.625" style="69" bestFit="1" customWidth="1"/>
    <col min="788" max="788" width="45.125" style="69" bestFit="1" customWidth="1"/>
    <col min="789" max="789" width="41.875" style="69" bestFit="1" customWidth="1"/>
    <col min="790" max="790" width="43.375" style="69" bestFit="1" customWidth="1"/>
    <col min="791" max="791" width="38.375" style="69" bestFit="1" customWidth="1"/>
    <col min="792" max="792" width="42.25" style="69" bestFit="1" customWidth="1"/>
    <col min="793" max="793" width="41.375" style="69" bestFit="1" customWidth="1"/>
    <col min="794" max="16384" width="11" style="69"/>
  </cols>
  <sheetData>
    <row r="1" spans="1:41" ht="14.25">
      <c r="A1"/>
      <c r="B1" s="212">
        <v>4233100</v>
      </c>
      <c r="C1" s="213">
        <v>4213000</v>
      </c>
      <c r="D1" s="213">
        <v>4211200</v>
      </c>
      <c r="E1" s="213">
        <v>4233100</v>
      </c>
      <c r="F1" s="213">
        <v>4222119</v>
      </c>
      <c r="G1" s="213">
        <v>4222120</v>
      </c>
      <c r="H1" s="213">
        <v>4222122</v>
      </c>
      <c r="I1" s="213">
        <v>4222125</v>
      </c>
      <c r="J1" s="213">
        <v>4222124</v>
      </c>
      <c r="K1" s="213">
        <v>4222138</v>
      </c>
      <c r="L1" s="213">
        <v>4222121</v>
      </c>
      <c r="M1" s="213">
        <v>4222135</v>
      </c>
      <c r="N1" s="213">
        <v>4222102</v>
      </c>
      <c r="O1" s="213">
        <v>4222104</v>
      </c>
      <c r="P1" s="213">
        <v>4222113</v>
      </c>
      <c r="Q1" s="213">
        <v>4222126</v>
      </c>
      <c r="R1" s="213">
        <v>4222127</v>
      </c>
      <c r="S1" s="213">
        <v>4121000</v>
      </c>
      <c r="T1" s="213">
        <v>4123002</v>
      </c>
      <c r="U1" s="213">
        <v>4123005</v>
      </c>
      <c r="V1" s="213">
        <v>4123001</v>
      </c>
      <c r="W1" s="213">
        <v>4123004</v>
      </c>
      <c r="X1" s="213">
        <v>4123010</v>
      </c>
      <c r="Y1" s="213">
        <v>4123007</v>
      </c>
      <c r="Z1" s="213">
        <v>4123013</v>
      </c>
    </row>
    <row r="2" spans="1:41" ht="33.75">
      <c r="B2" s="63" t="s">
        <v>653</v>
      </c>
      <c r="C2" s="63" t="s">
        <v>654</v>
      </c>
      <c r="D2" s="63" t="s">
        <v>655</v>
      </c>
      <c r="E2" s="63" t="s">
        <v>656</v>
      </c>
      <c r="F2" s="63" t="s">
        <v>657</v>
      </c>
      <c r="G2" s="63" t="s">
        <v>658</v>
      </c>
      <c r="H2" s="63" t="s">
        <v>659</v>
      </c>
      <c r="I2" s="63" t="s">
        <v>660</v>
      </c>
      <c r="J2" s="63" t="s">
        <v>661</v>
      </c>
      <c r="K2" s="63" t="s">
        <v>662</v>
      </c>
      <c r="L2" s="63" t="s">
        <v>663</v>
      </c>
      <c r="M2" s="63" t="s">
        <v>664</v>
      </c>
      <c r="N2" s="63" t="s">
        <v>665</v>
      </c>
      <c r="O2" s="63" t="s">
        <v>666</v>
      </c>
      <c r="P2" s="63" t="s">
        <v>667</v>
      </c>
      <c r="Q2" s="63" t="s">
        <v>668</v>
      </c>
      <c r="R2" s="63" t="s">
        <v>669</v>
      </c>
      <c r="S2" s="63" t="s">
        <v>670</v>
      </c>
      <c r="T2" s="63" t="s">
        <v>671</v>
      </c>
      <c r="U2" s="63" t="s">
        <v>672</v>
      </c>
      <c r="V2" s="63" t="s">
        <v>673</v>
      </c>
      <c r="W2" s="63" t="s">
        <v>674</v>
      </c>
      <c r="X2" s="63" t="s">
        <v>675</v>
      </c>
      <c r="Y2" s="63" t="s">
        <v>676</v>
      </c>
      <c r="Z2" s="63" t="s">
        <v>677</v>
      </c>
    </row>
    <row r="3" spans="1:41">
      <c r="A3" s="17" t="s">
        <v>725</v>
      </c>
      <c r="B3" s="73">
        <f>+PERSONAL!H213</f>
        <v>134339668</v>
      </c>
      <c r="C3" s="73">
        <f>+PERSONAL!H214</f>
        <v>44080205</v>
      </c>
      <c r="D3" s="73">
        <f>+PERSONAL!H215</f>
        <v>14311755</v>
      </c>
      <c r="E3" s="73">
        <f>+PERSONAL!H216</f>
        <v>5056820</v>
      </c>
      <c r="F3" s="73">
        <f>+PERSONAL!H217</f>
        <v>31676683</v>
      </c>
      <c r="G3" s="73">
        <f>+PERSONAL!H218</f>
        <v>28432686</v>
      </c>
      <c r="H3" s="73">
        <f>+PERSONAL!H219</f>
        <v>22898808</v>
      </c>
      <c r="I3" s="73">
        <f>+PERSONAL!H220</f>
        <v>16983282</v>
      </c>
      <c r="J3" s="73">
        <f>+PERSONAL!H221</f>
        <v>22898808</v>
      </c>
      <c r="K3" s="73">
        <f>+PERSONAL!H222</f>
        <v>31104213</v>
      </c>
      <c r="L3" s="73">
        <f>+PERSONAL!H223</f>
        <v>31485861</v>
      </c>
      <c r="M3" s="73">
        <f>+PERSONAL!H224</f>
        <v>5724702</v>
      </c>
      <c r="N3" s="73">
        <f>+PERSONAL!H225</f>
        <v>5533878</v>
      </c>
      <c r="O3" s="73">
        <f>+PERSONAL!H226</f>
        <v>8587053</v>
      </c>
      <c r="P3" s="73">
        <f>+PERSONAL!H227</f>
        <v>8587053</v>
      </c>
      <c r="Q3" s="73">
        <f>+PERSONAL!H228</f>
        <v>16219989</v>
      </c>
      <c r="R3" s="73">
        <f>+PERSONAL!H229</f>
        <v>2862351</v>
      </c>
      <c r="S3" s="73">
        <f>+PERSONAL!H230</f>
        <v>22612572</v>
      </c>
      <c r="T3" s="73">
        <f>+PERSONAL!H231</f>
        <v>15170460</v>
      </c>
      <c r="U3" s="73">
        <f>+PERSONAL!H232</f>
        <v>11449404</v>
      </c>
      <c r="V3" s="73">
        <f>+PERSONAL!H233</f>
        <v>8300818</v>
      </c>
      <c r="W3" s="73">
        <f>+PERSONAL!H234</f>
        <v>8587053</v>
      </c>
      <c r="X3" s="73">
        <f>+PERSONAL!H235</f>
        <v>10304464</v>
      </c>
      <c r="Y3" s="73">
        <f>+PERSONAL!H236</f>
        <v>5724702</v>
      </c>
      <c r="Z3" s="73">
        <f>+PERSONAL!H237</f>
        <v>5056820</v>
      </c>
      <c r="AA3" s="72">
        <f>SUM(B3:Z3)</f>
        <v>517990108</v>
      </c>
      <c r="AN3" s="69"/>
    </row>
    <row r="4" spans="1:41">
      <c r="A4" s="207"/>
      <c r="B4" s="208"/>
      <c r="C4" s="208"/>
      <c r="D4" s="208"/>
      <c r="E4" s="208"/>
      <c r="F4" s="208"/>
      <c r="G4" s="208"/>
      <c r="H4" s="208"/>
      <c r="I4" s="208"/>
      <c r="J4" s="208"/>
      <c r="K4" s="208"/>
      <c r="L4" s="208"/>
      <c r="M4" s="208"/>
      <c r="N4" s="208"/>
      <c r="O4" s="208"/>
      <c r="P4" s="208"/>
      <c r="Q4" s="208"/>
      <c r="R4" s="208"/>
      <c r="S4" s="208"/>
      <c r="T4" s="208"/>
      <c r="U4" s="208"/>
      <c r="V4" s="208"/>
      <c r="W4" s="208"/>
      <c r="X4" s="208"/>
      <c r="Y4" s="208"/>
      <c r="Z4" s="208"/>
      <c r="AN4" s="69"/>
    </row>
    <row r="5" spans="1:41">
      <c r="B5" s="70"/>
      <c r="AA5" s="71"/>
      <c r="AO5" s="72"/>
    </row>
    <row r="6" spans="1:41" s="209" customFormat="1" ht="55.5" customHeight="1">
      <c r="A6" s="210" t="s">
        <v>698</v>
      </c>
      <c r="B6" s="211" t="s">
        <v>700</v>
      </c>
      <c r="C6" s="211" t="s">
        <v>701</v>
      </c>
      <c r="D6" s="211" t="s">
        <v>702</v>
      </c>
      <c r="E6" s="211" t="s">
        <v>703</v>
      </c>
      <c r="F6" s="211" t="s">
        <v>704</v>
      </c>
      <c r="G6" s="211" t="s">
        <v>705</v>
      </c>
      <c r="H6" s="211" t="s">
        <v>706</v>
      </c>
      <c r="I6" s="211" t="s">
        <v>707</v>
      </c>
      <c r="J6" s="211" t="s">
        <v>708</v>
      </c>
      <c r="K6" s="211" t="s">
        <v>709</v>
      </c>
      <c r="L6" s="211" t="s">
        <v>710</v>
      </c>
      <c r="M6" s="211" t="s">
        <v>711</v>
      </c>
      <c r="N6" s="211" t="s">
        <v>712</v>
      </c>
      <c r="O6" s="211" t="s">
        <v>713</v>
      </c>
      <c r="P6" s="211" t="s">
        <v>714</v>
      </c>
      <c r="Q6" s="211" t="s">
        <v>715</v>
      </c>
      <c r="R6" s="211" t="s">
        <v>716</v>
      </c>
      <c r="S6" s="211" t="s">
        <v>717</v>
      </c>
      <c r="T6" s="211" t="s">
        <v>718</v>
      </c>
      <c r="U6" s="211" t="s">
        <v>719</v>
      </c>
      <c r="V6" s="211" t="s">
        <v>720</v>
      </c>
      <c r="W6" s="211" t="s">
        <v>721</v>
      </c>
      <c r="X6" s="211" t="s">
        <v>722</v>
      </c>
      <c r="Y6" s="211" t="s">
        <v>723</v>
      </c>
      <c r="Z6" s="211" t="s">
        <v>724</v>
      </c>
      <c r="AA6" s="71"/>
      <c r="AB6" s="71"/>
      <c r="AC6" s="71"/>
      <c r="AD6" s="71"/>
      <c r="AE6" s="71"/>
      <c r="AF6" s="71"/>
      <c r="AG6" s="71"/>
      <c r="AH6" s="71"/>
      <c r="AI6" s="71"/>
      <c r="AJ6" s="71"/>
      <c r="AK6" s="71"/>
      <c r="AL6" s="71"/>
      <c r="AM6" s="71"/>
      <c r="AN6" s="71"/>
    </row>
    <row r="7" spans="1:41" ht="14.25">
      <c r="A7" s="113" t="s">
        <v>927</v>
      </c>
      <c r="B7" s="155">
        <v>538318</v>
      </c>
      <c r="C7" s="155">
        <v>178018</v>
      </c>
      <c r="D7" s="155">
        <v>178018</v>
      </c>
      <c r="E7" s="155">
        <v>0</v>
      </c>
      <c r="F7" s="155">
        <v>0</v>
      </c>
      <c r="G7" s="155">
        <v>0</v>
      </c>
      <c r="H7" s="155">
        <v>356037</v>
      </c>
      <c r="I7" s="155">
        <v>0</v>
      </c>
      <c r="J7" s="155">
        <v>0</v>
      </c>
      <c r="K7" s="155">
        <v>296697</v>
      </c>
      <c r="L7" s="155">
        <v>356037</v>
      </c>
      <c r="M7" s="155">
        <v>0</v>
      </c>
      <c r="N7" s="155">
        <v>178018</v>
      </c>
      <c r="O7" s="155">
        <v>59339</v>
      </c>
      <c r="P7" s="155">
        <v>59339</v>
      </c>
      <c r="Q7" s="155">
        <v>0</v>
      </c>
      <c r="R7" s="155">
        <v>59339</v>
      </c>
      <c r="S7" s="155">
        <v>59339</v>
      </c>
      <c r="T7" s="155">
        <v>0</v>
      </c>
      <c r="U7" s="155">
        <v>0</v>
      </c>
      <c r="V7" s="155">
        <v>0</v>
      </c>
      <c r="W7" s="155">
        <v>0</v>
      </c>
      <c r="X7" s="155">
        <v>118679</v>
      </c>
      <c r="Y7" s="155">
        <v>0</v>
      </c>
      <c r="Z7" s="155">
        <v>29670</v>
      </c>
      <c r="AA7" s="72">
        <f>SUM(B7:Z7)</f>
        <v>2466848</v>
      </c>
    </row>
    <row r="8" spans="1:41" ht="14.25">
      <c r="A8" s="113" t="s">
        <v>939</v>
      </c>
      <c r="B8" s="155">
        <v>5439282</v>
      </c>
      <c r="C8" s="155">
        <v>483492</v>
      </c>
      <c r="D8" s="155">
        <v>483492</v>
      </c>
      <c r="E8" s="155">
        <v>0</v>
      </c>
      <c r="F8" s="155">
        <v>0</v>
      </c>
      <c r="G8" s="155">
        <v>0</v>
      </c>
      <c r="H8" s="155">
        <v>604365</v>
      </c>
      <c r="I8" s="155">
        <v>0</v>
      </c>
      <c r="J8" s="155">
        <v>604365</v>
      </c>
      <c r="K8" s="155">
        <v>362619</v>
      </c>
      <c r="L8" s="155">
        <v>725238</v>
      </c>
      <c r="M8" s="155">
        <v>120873</v>
      </c>
      <c r="N8" s="155">
        <v>241746</v>
      </c>
      <c r="O8" s="155">
        <v>120873</v>
      </c>
      <c r="P8" s="155">
        <v>362619</v>
      </c>
      <c r="Q8" s="155">
        <v>0</v>
      </c>
      <c r="R8" s="155">
        <v>120873</v>
      </c>
      <c r="S8" s="155">
        <v>241746</v>
      </c>
      <c r="T8" s="155">
        <v>0</v>
      </c>
      <c r="U8" s="155">
        <v>725238</v>
      </c>
      <c r="V8" s="155">
        <v>0</v>
      </c>
      <c r="W8" s="155">
        <v>0</v>
      </c>
      <c r="X8" s="155">
        <v>120873</v>
      </c>
      <c r="Y8" s="155">
        <v>241746</v>
      </c>
      <c r="Z8" s="155">
        <v>0</v>
      </c>
      <c r="AA8" s="72">
        <f t="shared" ref="AA8:AA48" si="0">SUM(B8:Z8)</f>
        <v>10999440</v>
      </c>
    </row>
    <row r="9" spans="1:41" ht="14.25">
      <c r="A9" s="113" t="s">
        <v>940</v>
      </c>
      <c r="B9" s="155">
        <v>47648</v>
      </c>
      <c r="C9" s="155">
        <v>0</v>
      </c>
      <c r="D9" s="155">
        <v>0</v>
      </c>
      <c r="E9" s="155">
        <v>0</v>
      </c>
      <c r="F9" s="155">
        <v>0</v>
      </c>
      <c r="G9" s="155">
        <v>0</v>
      </c>
      <c r="H9" s="155">
        <v>0</v>
      </c>
      <c r="I9" s="155">
        <v>0</v>
      </c>
      <c r="J9" s="155">
        <v>0</v>
      </c>
      <c r="K9" s="155">
        <v>0</v>
      </c>
      <c r="L9" s="155">
        <v>0</v>
      </c>
      <c r="M9" s="155">
        <v>0</v>
      </c>
      <c r="N9" s="155">
        <v>0</v>
      </c>
      <c r="O9" s="155">
        <v>0</v>
      </c>
      <c r="P9" s="155">
        <v>0</v>
      </c>
      <c r="Q9" s="155">
        <v>0</v>
      </c>
      <c r="R9" s="155">
        <v>0</v>
      </c>
      <c r="S9" s="155">
        <v>0</v>
      </c>
      <c r="T9" s="155">
        <v>0</v>
      </c>
      <c r="U9" s="155">
        <v>0</v>
      </c>
      <c r="V9" s="155">
        <v>0</v>
      </c>
      <c r="W9" s="155">
        <v>0</v>
      </c>
      <c r="X9" s="155">
        <v>0</v>
      </c>
      <c r="Y9" s="155">
        <v>0</v>
      </c>
      <c r="Z9" s="155">
        <v>0</v>
      </c>
      <c r="AA9" s="72">
        <f t="shared" si="0"/>
        <v>47648</v>
      </c>
    </row>
    <row r="10" spans="1:41" ht="14.25">
      <c r="A10" s="113" t="s">
        <v>929</v>
      </c>
      <c r="B10" s="155">
        <v>0</v>
      </c>
      <c r="C10" s="155">
        <v>0</v>
      </c>
      <c r="D10" s="155">
        <v>0</v>
      </c>
      <c r="E10" s="155">
        <v>0</v>
      </c>
      <c r="F10" s="155">
        <v>0</v>
      </c>
      <c r="G10" s="155">
        <v>0</v>
      </c>
      <c r="H10" s="155">
        <v>0</v>
      </c>
      <c r="I10" s="155">
        <v>0</v>
      </c>
      <c r="J10" s="155">
        <v>0</v>
      </c>
      <c r="K10" s="155">
        <v>0</v>
      </c>
      <c r="L10" s="155">
        <v>0</v>
      </c>
      <c r="M10" s="155">
        <v>0</v>
      </c>
      <c r="N10" s="155">
        <v>0</v>
      </c>
      <c r="O10" s="155">
        <v>0</v>
      </c>
      <c r="P10" s="155">
        <v>0</v>
      </c>
      <c r="Q10" s="155">
        <v>0</v>
      </c>
      <c r="R10" s="155">
        <v>0</v>
      </c>
      <c r="S10" s="155">
        <v>0</v>
      </c>
      <c r="T10" s="155">
        <v>0</v>
      </c>
      <c r="U10" s="155">
        <v>0</v>
      </c>
      <c r="V10" s="155">
        <v>0</v>
      </c>
      <c r="W10" s="155">
        <v>0</v>
      </c>
      <c r="X10" s="155">
        <v>0</v>
      </c>
      <c r="Y10" s="155">
        <v>0</v>
      </c>
      <c r="Z10" s="155">
        <v>0</v>
      </c>
      <c r="AA10" s="72">
        <f t="shared" si="0"/>
        <v>0</v>
      </c>
    </row>
    <row r="11" spans="1:41" ht="14.25">
      <c r="A11" s="113" t="s">
        <v>928</v>
      </c>
      <c r="B11" s="155">
        <v>1569067</v>
      </c>
      <c r="C11" s="155">
        <v>119793</v>
      </c>
      <c r="D11" s="155">
        <v>56314</v>
      </c>
      <c r="E11" s="155">
        <v>0</v>
      </c>
      <c r="F11" s="155">
        <v>44536</v>
      </c>
      <c r="G11" s="155">
        <v>0</v>
      </c>
      <c r="H11" s="155">
        <v>149742</v>
      </c>
      <c r="I11" s="155">
        <v>58206</v>
      </c>
      <c r="J11" s="155">
        <v>132165</v>
      </c>
      <c r="K11" s="155">
        <v>72268</v>
      </c>
      <c r="L11" s="155">
        <v>119793</v>
      </c>
      <c r="M11" s="155">
        <v>18557</v>
      </c>
      <c r="N11" s="155">
        <v>29948</v>
      </c>
      <c r="O11" s="155">
        <v>27474</v>
      </c>
      <c r="P11" s="155">
        <v>21160</v>
      </c>
      <c r="Q11" s="155">
        <v>89845</v>
      </c>
      <c r="R11" s="155">
        <v>42319</v>
      </c>
      <c r="S11" s="155">
        <v>67061</v>
      </c>
      <c r="T11" s="155">
        <v>0</v>
      </c>
      <c r="U11" s="155">
        <v>70309</v>
      </c>
      <c r="V11" s="155">
        <v>0</v>
      </c>
      <c r="W11" s="155">
        <v>0</v>
      </c>
      <c r="X11" s="155">
        <v>17577</v>
      </c>
      <c r="Y11" s="155">
        <v>27346</v>
      </c>
      <c r="Z11" s="155">
        <v>24742</v>
      </c>
      <c r="AA11" s="72">
        <f t="shared" si="0"/>
        <v>2758222</v>
      </c>
    </row>
    <row r="12" spans="1:41" ht="14.25">
      <c r="A12" s="113" t="s">
        <v>930</v>
      </c>
      <c r="B12" s="155">
        <v>180804</v>
      </c>
      <c r="C12" s="155">
        <v>90402</v>
      </c>
      <c r="D12" s="155">
        <v>90402</v>
      </c>
      <c r="E12" s="155">
        <v>0</v>
      </c>
      <c r="F12" s="155">
        <v>63282</v>
      </c>
      <c r="G12" s="155">
        <v>90402</v>
      </c>
      <c r="H12" s="155">
        <v>0</v>
      </c>
      <c r="I12" s="155">
        <v>0</v>
      </c>
      <c r="J12" s="155">
        <v>81362</v>
      </c>
      <c r="K12" s="155">
        <v>90402</v>
      </c>
      <c r="L12" s="155">
        <v>90402</v>
      </c>
      <c r="M12" s="155">
        <v>135603</v>
      </c>
      <c r="N12" s="155">
        <v>72322</v>
      </c>
      <c r="O12" s="155">
        <v>54241</v>
      </c>
      <c r="P12" s="155">
        <v>54241</v>
      </c>
      <c r="Q12" s="155">
        <v>90402</v>
      </c>
      <c r="R12" s="155">
        <v>54241</v>
      </c>
      <c r="S12" s="155">
        <v>72322</v>
      </c>
      <c r="T12" s="155">
        <v>0</v>
      </c>
      <c r="U12" s="155">
        <v>90402</v>
      </c>
      <c r="V12" s="155">
        <v>72322</v>
      </c>
      <c r="W12" s="155">
        <v>54241</v>
      </c>
      <c r="X12" s="155">
        <v>36161</v>
      </c>
      <c r="Y12" s="155">
        <v>36161</v>
      </c>
      <c r="Z12" s="155">
        <v>90402</v>
      </c>
      <c r="AA12" s="72">
        <f t="shared" si="0"/>
        <v>1690519</v>
      </c>
    </row>
    <row r="13" spans="1:41" ht="14.25">
      <c r="A13" s="113" t="s">
        <v>925</v>
      </c>
      <c r="B13" s="155">
        <v>32282</v>
      </c>
      <c r="C13" s="155">
        <v>8608</v>
      </c>
      <c r="D13" s="155">
        <v>0</v>
      </c>
      <c r="E13" s="155">
        <v>0</v>
      </c>
      <c r="F13" s="155">
        <v>0</v>
      </c>
      <c r="G13" s="155">
        <v>8608</v>
      </c>
      <c r="H13" s="155">
        <v>0</v>
      </c>
      <c r="I13" s="155">
        <v>0</v>
      </c>
      <c r="J13" s="155">
        <v>8608</v>
      </c>
      <c r="K13" s="155">
        <v>0</v>
      </c>
      <c r="L13" s="155">
        <v>0</v>
      </c>
      <c r="M13" s="155">
        <v>8608</v>
      </c>
      <c r="N13" s="155">
        <v>0</v>
      </c>
      <c r="O13" s="155">
        <v>0</v>
      </c>
      <c r="P13" s="155">
        <v>4304</v>
      </c>
      <c r="Q13" s="155">
        <v>0</v>
      </c>
      <c r="R13" s="155">
        <v>8608</v>
      </c>
      <c r="S13" s="155">
        <v>0</v>
      </c>
      <c r="T13" s="155">
        <v>0</v>
      </c>
      <c r="U13" s="155">
        <v>0</v>
      </c>
      <c r="V13" s="155">
        <v>0</v>
      </c>
      <c r="W13" s="155">
        <v>0</v>
      </c>
      <c r="X13" s="155">
        <v>0</v>
      </c>
      <c r="Y13" s="155">
        <v>0</v>
      </c>
      <c r="Z13" s="155">
        <v>0</v>
      </c>
      <c r="AA13" s="72">
        <f t="shared" si="0"/>
        <v>79626</v>
      </c>
    </row>
    <row r="14" spans="1:41" ht="14.25">
      <c r="A14" s="113" t="s">
        <v>937</v>
      </c>
      <c r="B14" s="155">
        <v>42374</v>
      </c>
      <c r="C14" s="155">
        <v>5029</v>
      </c>
      <c r="D14" s="155">
        <v>1257</v>
      </c>
      <c r="E14" s="155">
        <v>0</v>
      </c>
      <c r="F14" s="155">
        <v>3771</v>
      </c>
      <c r="G14" s="155">
        <v>0</v>
      </c>
      <c r="H14" s="155">
        <v>10057</v>
      </c>
      <c r="I14" s="155">
        <v>0</v>
      </c>
      <c r="J14" s="155">
        <v>0</v>
      </c>
      <c r="K14" s="155">
        <v>0</v>
      </c>
      <c r="L14" s="155">
        <v>0</v>
      </c>
      <c r="M14" s="155">
        <v>0</v>
      </c>
      <c r="N14" s="155">
        <v>5029</v>
      </c>
      <c r="O14" s="155">
        <v>5029</v>
      </c>
      <c r="P14" s="155">
        <v>5029</v>
      </c>
      <c r="Q14" s="155">
        <v>0</v>
      </c>
      <c r="R14" s="155">
        <v>5029</v>
      </c>
      <c r="S14" s="155">
        <v>6286</v>
      </c>
      <c r="T14" s="155">
        <v>0</v>
      </c>
      <c r="U14" s="155">
        <v>3771</v>
      </c>
      <c r="V14" s="155">
        <v>0</v>
      </c>
      <c r="W14" s="155">
        <v>0</v>
      </c>
      <c r="X14" s="155">
        <v>5029</v>
      </c>
      <c r="Y14" s="155">
        <v>0</v>
      </c>
      <c r="Z14" s="155">
        <v>7217</v>
      </c>
      <c r="AA14" s="72">
        <f t="shared" si="0"/>
        <v>104907</v>
      </c>
    </row>
    <row r="15" spans="1:41" ht="14.25">
      <c r="A15" s="113" t="s">
        <v>938</v>
      </c>
      <c r="B15" s="155">
        <v>103304</v>
      </c>
      <c r="C15" s="155">
        <v>41322</v>
      </c>
      <c r="D15" s="155">
        <v>10330</v>
      </c>
      <c r="E15" s="155">
        <v>0</v>
      </c>
      <c r="F15" s="155">
        <v>0</v>
      </c>
      <c r="G15" s="155">
        <v>41322</v>
      </c>
      <c r="H15" s="155">
        <v>0</v>
      </c>
      <c r="I15" s="155">
        <v>0</v>
      </c>
      <c r="J15" s="155">
        <v>0</v>
      </c>
      <c r="K15" s="155">
        <v>81369</v>
      </c>
      <c r="L15" s="155">
        <v>41322</v>
      </c>
      <c r="M15" s="155">
        <v>41322</v>
      </c>
      <c r="N15" s="155">
        <v>0</v>
      </c>
      <c r="O15" s="155">
        <v>0</v>
      </c>
      <c r="P15" s="155">
        <v>20661</v>
      </c>
      <c r="Q15" s="155">
        <v>30991</v>
      </c>
      <c r="R15" s="155">
        <v>20661</v>
      </c>
      <c r="S15" s="155">
        <v>0</v>
      </c>
      <c r="T15" s="155">
        <v>0</v>
      </c>
      <c r="U15" s="155">
        <v>5165</v>
      </c>
      <c r="V15" s="155">
        <v>0</v>
      </c>
      <c r="W15" s="155">
        <v>0</v>
      </c>
      <c r="X15" s="155">
        <v>0</v>
      </c>
      <c r="Y15" s="155">
        <v>0</v>
      </c>
      <c r="Z15" s="155">
        <v>8148</v>
      </c>
      <c r="AA15" s="72">
        <f t="shared" si="0"/>
        <v>445917</v>
      </c>
    </row>
    <row r="16" spans="1:41" ht="14.25">
      <c r="A16" s="113" t="s">
        <v>912</v>
      </c>
      <c r="B16" s="155">
        <v>360542</v>
      </c>
      <c r="C16" s="155">
        <v>140106</v>
      </c>
      <c r="D16" s="155">
        <v>2780</v>
      </c>
      <c r="E16" s="155">
        <v>0</v>
      </c>
      <c r="F16" s="155">
        <v>16141</v>
      </c>
      <c r="G16" s="155">
        <v>26885</v>
      </c>
      <c r="H16" s="155">
        <v>4647</v>
      </c>
      <c r="I16" s="155">
        <v>0</v>
      </c>
      <c r="J16" s="155">
        <v>13075</v>
      </c>
      <c r="K16" s="155">
        <v>7516</v>
      </c>
      <c r="L16" s="155">
        <v>18276</v>
      </c>
      <c r="M16" s="155">
        <v>4647</v>
      </c>
      <c r="N16" s="155">
        <v>10572</v>
      </c>
      <c r="O16" s="155">
        <v>33717</v>
      </c>
      <c r="P16" s="155">
        <v>18635</v>
      </c>
      <c r="Q16" s="155">
        <v>0</v>
      </c>
      <c r="R16" s="155">
        <v>18635</v>
      </c>
      <c r="S16" s="155">
        <v>5809</v>
      </c>
      <c r="T16" s="155">
        <v>0</v>
      </c>
      <c r="U16" s="155">
        <v>0</v>
      </c>
      <c r="V16" s="155">
        <v>0</v>
      </c>
      <c r="W16" s="155">
        <v>0</v>
      </c>
      <c r="X16" s="155">
        <v>2690</v>
      </c>
      <c r="Y16" s="155">
        <v>0</v>
      </c>
      <c r="Z16" s="155">
        <v>4304</v>
      </c>
      <c r="AA16" s="72">
        <f t="shared" si="0"/>
        <v>688977</v>
      </c>
    </row>
    <row r="17" spans="1:27" ht="14.25">
      <c r="A17" s="113" t="s">
        <v>918</v>
      </c>
      <c r="B17" s="155">
        <v>0</v>
      </c>
      <c r="C17" s="155">
        <v>0</v>
      </c>
      <c r="D17" s="155">
        <v>0</v>
      </c>
      <c r="E17" s="155">
        <v>0</v>
      </c>
      <c r="F17" s="155">
        <v>0</v>
      </c>
      <c r="G17" s="155">
        <v>0</v>
      </c>
      <c r="H17" s="155">
        <v>0</v>
      </c>
      <c r="I17" s="155">
        <v>0</v>
      </c>
      <c r="J17" s="155">
        <v>0</v>
      </c>
      <c r="K17" s="155">
        <v>0</v>
      </c>
      <c r="L17" s="155">
        <v>0</v>
      </c>
      <c r="M17" s="155">
        <v>0</v>
      </c>
      <c r="N17" s="155">
        <v>0</v>
      </c>
      <c r="O17" s="155">
        <v>22729</v>
      </c>
      <c r="P17" s="155">
        <v>0</v>
      </c>
      <c r="Q17" s="155">
        <v>0</v>
      </c>
      <c r="R17" s="155">
        <v>0</v>
      </c>
      <c r="S17" s="155">
        <v>0</v>
      </c>
      <c r="T17" s="155">
        <v>0</v>
      </c>
      <c r="U17" s="155">
        <v>0</v>
      </c>
      <c r="V17" s="155">
        <v>0</v>
      </c>
      <c r="W17" s="155">
        <v>0</v>
      </c>
      <c r="X17" s="155">
        <v>0</v>
      </c>
      <c r="Y17" s="155">
        <v>0</v>
      </c>
      <c r="Z17" s="155">
        <v>0</v>
      </c>
      <c r="AA17" s="72">
        <f t="shared" si="0"/>
        <v>22729</v>
      </c>
    </row>
    <row r="18" spans="1:27" ht="14.25">
      <c r="A18" s="113" t="s">
        <v>923</v>
      </c>
      <c r="B18" s="155">
        <v>32086</v>
      </c>
      <c r="C18" s="155">
        <v>0</v>
      </c>
      <c r="D18" s="155">
        <v>2139</v>
      </c>
      <c r="E18" s="155">
        <v>0</v>
      </c>
      <c r="F18" s="155">
        <v>8556</v>
      </c>
      <c r="G18" s="155">
        <v>6417</v>
      </c>
      <c r="H18" s="155">
        <v>8556</v>
      </c>
      <c r="I18" s="155">
        <v>0</v>
      </c>
      <c r="J18" s="155">
        <v>2139</v>
      </c>
      <c r="K18" s="155">
        <v>8556</v>
      </c>
      <c r="L18" s="155">
        <v>8556</v>
      </c>
      <c r="M18" s="155">
        <v>0</v>
      </c>
      <c r="N18" s="155">
        <v>2139</v>
      </c>
      <c r="O18" s="155">
        <v>0</v>
      </c>
      <c r="P18" s="155">
        <v>4278</v>
      </c>
      <c r="Q18" s="155">
        <v>8556</v>
      </c>
      <c r="R18" s="155">
        <v>4278</v>
      </c>
      <c r="S18" s="155">
        <v>10695</v>
      </c>
      <c r="T18" s="155">
        <v>0</v>
      </c>
      <c r="U18" s="155">
        <v>0</v>
      </c>
      <c r="V18" s="155">
        <v>0</v>
      </c>
      <c r="W18" s="155">
        <v>0</v>
      </c>
      <c r="X18" s="155">
        <v>0</v>
      </c>
      <c r="Y18" s="155">
        <v>0</v>
      </c>
      <c r="Z18" s="155">
        <v>0</v>
      </c>
      <c r="AA18" s="72">
        <f t="shared" si="0"/>
        <v>106951</v>
      </c>
    </row>
    <row r="19" spans="1:27" ht="14.25">
      <c r="A19" s="113" t="s">
        <v>919</v>
      </c>
      <c r="B19" s="155">
        <v>1176760</v>
      </c>
      <c r="C19" s="155">
        <v>294190</v>
      </c>
      <c r="D19" s="155">
        <v>294190</v>
      </c>
      <c r="E19" s="155">
        <v>0</v>
      </c>
      <c r="F19" s="155">
        <v>441285</v>
      </c>
      <c r="G19" s="155">
        <v>0</v>
      </c>
      <c r="H19" s="155">
        <v>441285</v>
      </c>
      <c r="I19" s="155">
        <v>0</v>
      </c>
      <c r="J19" s="155">
        <v>588380</v>
      </c>
      <c r="K19" s="155">
        <v>441285</v>
      </c>
      <c r="L19" s="155">
        <v>220643</v>
      </c>
      <c r="M19" s="155">
        <v>73548</v>
      </c>
      <c r="N19" s="155">
        <v>0</v>
      </c>
      <c r="O19" s="155">
        <v>73548</v>
      </c>
      <c r="P19" s="155">
        <v>73548</v>
      </c>
      <c r="Q19" s="155">
        <v>441285</v>
      </c>
      <c r="R19" s="155">
        <v>110321</v>
      </c>
      <c r="S19" s="155">
        <v>220643</v>
      </c>
      <c r="T19" s="155">
        <v>147095</v>
      </c>
      <c r="U19" s="155">
        <v>220643</v>
      </c>
      <c r="V19" s="155">
        <v>0</v>
      </c>
      <c r="W19" s="155">
        <v>0</v>
      </c>
      <c r="X19" s="155">
        <v>220643</v>
      </c>
      <c r="Y19" s="155">
        <v>36774</v>
      </c>
      <c r="Z19" s="155">
        <v>73548</v>
      </c>
      <c r="AA19" s="72">
        <f t="shared" si="0"/>
        <v>5589614</v>
      </c>
    </row>
    <row r="20" spans="1:27" ht="14.25">
      <c r="A20" s="113" t="s">
        <v>924</v>
      </c>
      <c r="B20" s="155">
        <v>85062</v>
      </c>
      <c r="C20" s="155">
        <v>0</v>
      </c>
      <c r="D20" s="155">
        <v>0</v>
      </c>
      <c r="E20" s="155">
        <v>0</v>
      </c>
      <c r="F20" s="155">
        <v>0</v>
      </c>
      <c r="G20" s="155">
        <v>0</v>
      </c>
      <c r="H20" s="155">
        <v>0</v>
      </c>
      <c r="I20" s="155">
        <v>0</v>
      </c>
      <c r="J20" s="155">
        <v>0</v>
      </c>
      <c r="K20" s="155">
        <v>0</v>
      </c>
      <c r="L20" s="155">
        <v>0</v>
      </c>
      <c r="M20" s="155">
        <v>0</v>
      </c>
      <c r="N20" s="155">
        <v>0</v>
      </c>
      <c r="O20" s="155">
        <v>0</v>
      </c>
      <c r="P20" s="155">
        <v>0</v>
      </c>
      <c r="Q20" s="155">
        <v>0</v>
      </c>
      <c r="R20" s="155">
        <v>0</v>
      </c>
      <c r="S20" s="155">
        <v>0</v>
      </c>
      <c r="T20" s="155">
        <v>17012</v>
      </c>
      <c r="U20" s="155">
        <v>0</v>
      </c>
      <c r="V20" s="155">
        <v>0</v>
      </c>
      <c r="W20" s="155">
        <v>0</v>
      </c>
      <c r="X20" s="155">
        <v>0</v>
      </c>
      <c r="Y20" s="155">
        <v>0</v>
      </c>
      <c r="Z20" s="155">
        <v>85062</v>
      </c>
      <c r="AA20" s="72">
        <f t="shared" si="0"/>
        <v>187136</v>
      </c>
    </row>
    <row r="21" spans="1:27" ht="14.25">
      <c r="A21" s="113" t="s">
        <v>921</v>
      </c>
      <c r="B21" s="155">
        <v>12903</v>
      </c>
      <c r="C21" s="155">
        <v>0</v>
      </c>
      <c r="D21" s="155">
        <v>0</v>
      </c>
      <c r="E21" s="155">
        <v>0</v>
      </c>
      <c r="F21" s="155">
        <v>0</v>
      </c>
      <c r="G21" s="155">
        <v>0</v>
      </c>
      <c r="H21" s="155">
        <v>0</v>
      </c>
      <c r="I21" s="155">
        <v>0</v>
      </c>
      <c r="J21" s="155">
        <v>0</v>
      </c>
      <c r="K21" s="155">
        <v>0</v>
      </c>
      <c r="L21" s="155">
        <v>0</v>
      </c>
      <c r="M21" s="155">
        <v>0</v>
      </c>
      <c r="N21" s="155">
        <v>0</v>
      </c>
      <c r="O21" s="155">
        <v>0</v>
      </c>
      <c r="P21" s="155">
        <v>0</v>
      </c>
      <c r="Q21" s="155">
        <v>0</v>
      </c>
      <c r="R21" s="155">
        <v>0</v>
      </c>
      <c r="S21" s="155">
        <v>0</v>
      </c>
      <c r="T21" s="155">
        <v>0</v>
      </c>
      <c r="U21" s="155">
        <v>0</v>
      </c>
      <c r="V21" s="155">
        <v>0</v>
      </c>
      <c r="W21" s="155">
        <v>0</v>
      </c>
      <c r="X21" s="155">
        <v>0</v>
      </c>
      <c r="Y21" s="155">
        <v>0</v>
      </c>
      <c r="Z21" s="155">
        <v>0</v>
      </c>
      <c r="AA21" s="72">
        <f t="shared" si="0"/>
        <v>12903</v>
      </c>
    </row>
    <row r="22" spans="1:27" ht="14.25">
      <c r="A22" s="113" t="s">
        <v>920</v>
      </c>
      <c r="B22" s="155">
        <v>2273417</v>
      </c>
      <c r="C22" s="155">
        <v>202082</v>
      </c>
      <c r="D22" s="155">
        <v>50520</v>
      </c>
      <c r="E22" s="155">
        <v>0</v>
      </c>
      <c r="F22" s="155">
        <v>0</v>
      </c>
      <c r="G22" s="155">
        <v>0</v>
      </c>
      <c r="H22" s="155">
        <v>303122</v>
      </c>
      <c r="I22" s="155">
        <v>0</v>
      </c>
      <c r="J22" s="155">
        <v>404163</v>
      </c>
      <c r="K22" s="155">
        <v>0</v>
      </c>
      <c r="L22" s="155">
        <v>151561</v>
      </c>
      <c r="M22" s="155">
        <v>101041</v>
      </c>
      <c r="N22" s="155">
        <v>0</v>
      </c>
      <c r="O22" s="155">
        <v>50520</v>
      </c>
      <c r="P22" s="155">
        <v>0</v>
      </c>
      <c r="Q22" s="155">
        <v>0</v>
      </c>
      <c r="R22" s="155">
        <v>101041</v>
      </c>
      <c r="S22" s="155">
        <v>0</v>
      </c>
      <c r="T22" s="155">
        <v>0</v>
      </c>
      <c r="U22" s="155">
        <v>0</v>
      </c>
      <c r="V22" s="155">
        <v>0</v>
      </c>
      <c r="W22" s="155">
        <v>0</v>
      </c>
      <c r="X22" s="155">
        <v>0</v>
      </c>
      <c r="Y22" s="155">
        <v>0</v>
      </c>
      <c r="Z22" s="155">
        <v>303122</v>
      </c>
      <c r="AA22" s="72">
        <f t="shared" si="0"/>
        <v>3940589</v>
      </c>
    </row>
    <row r="23" spans="1:27" ht="14.25">
      <c r="A23" s="113" t="s">
        <v>922</v>
      </c>
      <c r="B23" s="155">
        <v>445107</v>
      </c>
      <c r="C23" s="155">
        <v>231175</v>
      </c>
      <c r="D23" s="155">
        <v>231175</v>
      </c>
      <c r="E23" s="155">
        <v>212572</v>
      </c>
      <c r="F23" s="155">
        <v>212572</v>
      </c>
      <c r="G23" s="155">
        <v>231175</v>
      </c>
      <c r="H23" s="155">
        <v>231175</v>
      </c>
      <c r="I23" s="155">
        <v>212572</v>
      </c>
      <c r="J23" s="155">
        <v>231175</v>
      </c>
      <c r="K23" s="155">
        <v>231175</v>
      </c>
      <c r="L23" s="155">
        <v>231175</v>
      </c>
      <c r="M23" s="155">
        <v>231175</v>
      </c>
      <c r="N23" s="155">
        <v>221873</v>
      </c>
      <c r="O23" s="155">
        <v>221873</v>
      </c>
      <c r="P23" s="155">
        <v>221873</v>
      </c>
      <c r="Q23" s="155">
        <v>212572</v>
      </c>
      <c r="R23" s="155">
        <v>221873</v>
      </c>
      <c r="S23" s="155">
        <v>328839</v>
      </c>
      <c r="T23" s="155">
        <v>212572</v>
      </c>
      <c r="U23" s="155">
        <v>259079</v>
      </c>
      <c r="V23" s="155">
        <v>212572</v>
      </c>
      <c r="W23" s="155">
        <v>212572</v>
      </c>
      <c r="X23" s="155">
        <v>139521</v>
      </c>
      <c r="Y23" s="155">
        <v>305586</v>
      </c>
      <c r="Z23" s="155">
        <v>212572</v>
      </c>
      <c r="AA23" s="72">
        <f t="shared" si="0"/>
        <v>5915600</v>
      </c>
    </row>
    <row r="24" spans="1:27" ht="14.25">
      <c r="A24" s="113" t="s">
        <v>911</v>
      </c>
      <c r="B24" s="155">
        <v>144775</v>
      </c>
      <c r="C24" s="155">
        <v>0</v>
      </c>
      <c r="D24" s="155">
        <v>0</v>
      </c>
      <c r="E24" s="155">
        <v>0</v>
      </c>
      <c r="F24" s="155">
        <v>0</v>
      </c>
      <c r="G24" s="155">
        <v>0</v>
      </c>
      <c r="H24" s="155">
        <v>0</v>
      </c>
      <c r="I24" s="155">
        <v>0</v>
      </c>
      <c r="J24" s="155">
        <v>0</v>
      </c>
      <c r="K24" s="155">
        <v>0</v>
      </c>
      <c r="L24" s="155">
        <v>0</v>
      </c>
      <c r="M24" s="155">
        <v>0</v>
      </c>
      <c r="N24" s="155">
        <v>30195</v>
      </c>
      <c r="O24" s="155">
        <v>0</v>
      </c>
      <c r="P24" s="155">
        <v>30195</v>
      </c>
      <c r="Q24" s="155">
        <v>0</v>
      </c>
      <c r="R24" s="155">
        <v>0</v>
      </c>
      <c r="S24" s="155">
        <v>0</v>
      </c>
      <c r="T24" s="155">
        <v>0</v>
      </c>
      <c r="U24" s="155">
        <v>0</v>
      </c>
      <c r="V24" s="155">
        <v>0</v>
      </c>
      <c r="W24" s="155">
        <v>90584</v>
      </c>
      <c r="X24" s="155">
        <v>0</v>
      </c>
      <c r="Y24" s="155">
        <v>251623</v>
      </c>
      <c r="Z24" s="155">
        <v>20130</v>
      </c>
      <c r="AA24" s="72">
        <f t="shared" si="0"/>
        <v>567502</v>
      </c>
    </row>
    <row r="25" spans="1:27" ht="14.25">
      <c r="A25" s="113" t="s">
        <v>904</v>
      </c>
      <c r="B25" s="155">
        <v>293472</v>
      </c>
      <c r="C25" s="155">
        <v>6522</v>
      </c>
      <c r="D25" s="155">
        <v>6522</v>
      </c>
      <c r="E25" s="155">
        <v>0</v>
      </c>
      <c r="F25" s="155">
        <v>28334</v>
      </c>
      <c r="G25" s="155">
        <v>42501</v>
      </c>
      <c r="H25" s="155">
        <v>0</v>
      </c>
      <c r="I25" s="155">
        <v>0</v>
      </c>
      <c r="J25" s="155">
        <v>62066</v>
      </c>
      <c r="K25" s="155">
        <v>0</v>
      </c>
      <c r="L25" s="155">
        <v>0</v>
      </c>
      <c r="M25" s="155">
        <v>0</v>
      </c>
      <c r="N25" s="155">
        <v>0</v>
      </c>
      <c r="O25" s="155">
        <v>0</v>
      </c>
      <c r="P25" s="155">
        <v>0</v>
      </c>
      <c r="Q25" s="155">
        <v>19565</v>
      </c>
      <c r="R25" s="155">
        <v>62066</v>
      </c>
      <c r="S25" s="155">
        <v>26086</v>
      </c>
      <c r="T25" s="155">
        <v>0</v>
      </c>
      <c r="U25" s="155">
        <v>0</v>
      </c>
      <c r="V25" s="155">
        <v>0</v>
      </c>
      <c r="W25" s="155">
        <v>0</v>
      </c>
      <c r="X25" s="155">
        <v>0</v>
      </c>
      <c r="Y25" s="155">
        <v>0</v>
      </c>
      <c r="Z25" s="155">
        <v>0</v>
      </c>
      <c r="AA25" s="72">
        <f t="shared" si="0"/>
        <v>547134</v>
      </c>
    </row>
    <row r="26" spans="1:27" ht="14.25">
      <c r="A26" s="113" t="s">
        <v>907</v>
      </c>
      <c r="B26" s="155">
        <v>216803</v>
      </c>
      <c r="C26" s="155">
        <v>19271</v>
      </c>
      <c r="D26" s="155">
        <v>19271</v>
      </c>
      <c r="E26" s="155">
        <v>0</v>
      </c>
      <c r="F26" s="155">
        <v>9636</v>
      </c>
      <c r="G26" s="155">
        <v>19271</v>
      </c>
      <c r="H26" s="155">
        <v>19271</v>
      </c>
      <c r="I26" s="155">
        <v>19271</v>
      </c>
      <c r="J26" s="155">
        <v>38543</v>
      </c>
      <c r="K26" s="155">
        <v>19271</v>
      </c>
      <c r="L26" s="155">
        <v>19271</v>
      </c>
      <c r="M26" s="155">
        <v>19271</v>
      </c>
      <c r="N26" s="155">
        <v>19271</v>
      </c>
      <c r="O26" s="155">
        <v>0</v>
      </c>
      <c r="P26" s="155">
        <v>19271</v>
      </c>
      <c r="Q26" s="155">
        <v>19271</v>
      </c>
      <c r="R26" s="155">
        <v>19271</v>
      </c>
      <c r="S26" s="155">
        <v>38543</v>
      </c>
      <c r="T26" s="155">
        <v>0</v>
      </c>
      <c r="U26" s="155">
        <v>0</v>
      </c>
      <c r="V26" s="155">
        <v>0</v>
      </c>
      <c r="W26" s="155">
        <v>0</v>
      </c>
      <c r="X26" s="155">
        <v>14454</v>
      </c>
      <c r="Y26" s="155">
        <v>0</v>
      </c>
      <c r="Z26" s="155">
        <v>28907</v>
      </c>
      <c r="AA26" s="72">
        <f t="shared" si="0"/>
        <v>578138</v>
      </c>
    </row>
    <row r="27" spans="1:27" ht="14.25">
      <c r="A27" s="113" t="s">
        <v>903</v>
      </c>
      <c r="B27" s="155">
        <v>302036</v>
      </c>
      <c r="C27" s="155">
        <v>4668</v>
      </c>
      <c r="D27" s="155">
        <v>9777</v>
      </c>
      <c r="E27" s="155">
        <v>0</v>
      </c>
      <c r="F27" s="155">
        <v>0</v>
      </c>
      <c r="G27" s="155">
        <v>0</v>
      </c>
      <c r="H27" s="155">
        <v>37345</v>
      </c>
      <c r="I27" s="155">
        <v>0</v>
      </c>
      <c r="J27" s="155">
        <v>54865</v>
      </c>
      <c r="K27" s="155">
        <v>0</v>
      </c>
      <c r="L27" s="155">
        <v>40876</v>
      </c>
      <c r="M27" s="155">
        <v>66545</v>
      </c>
      <c r="N27" s="155">
        <v>68310</v>
      </c>
      <c r="O27" s="155">
        <v>29200</v>
      </c>
      <c r="P27" s="155">
        <v>41608</v>
      </c>
      <c r="Q27" s="155">
        <v>37345</v>
      </c>
      <c r="R27" s="155">
        <v>97509</v>
      </c>
      <c r="S27" s="155">
        <v>37075</v>
      </c>
      <c r="T27" s="155">
        <v>116799</v>
      </c>
      <c r="U27" s="155">
        <v>47872</v>
      </c>
      <c r="V27" s="155">
        <v>87599</v>
      </c>
      <c r="W27" s="155">
        <v>0</v>
      </c>
      <c r="X27" s="155">
        <v>39419</v>
      </c>
      <c r="Y27" s="155">
        <v>72999</v>
      </c>
      <c r="Z27" s="155">
        <v>87599</v>
      </c>
      <c r="AA27" s="72">
        <f t="shared" si="0"/>
        <v>1279446</v>
      </c>
    </row>
    <row r="28" spans="1:27" ht="14.25">
      <c r="A28" s="113" t="s">
        <v>900</v>
      </c>
      <c r="B28" s="155">
        <v>17560</v>
      </c>
      <c r="C28" s="155">
        <v>1756</v>
      </c>
      <c r="D28" s="155">
        <v>1756</v>
      </c>
      <c r="E28" s="155">
        <v>0</v>
      </c>
      <c r="F28" s="155">
        <v>1756</v>
      </c>
      <c r="G28" s="155">
        <v>5268</v>
      </c>
      <c r="H28" s="155">
        <v>5268</v>
      </c>
      <c r="I28" s="155">
        <v>0</v>
      </c>
      <c r="J28" s="155">
        <v>5268</v>
      </c>
      <c r="K28" s="155">
        <v>5268</v>
      </c>
      <c r="L28" s="155">
        <v>3512</v>
      </c>
      <c r="M28" s="155">
        <v>0</v>
      </c>
      <c r="N28" s="155">
        <v>5268</v>
      </c>
      <c r="O28" s="155">
        <v>0</v>
      </c>
      <c r="P28" s="155">
        <v>0</v>
      </c>
      <c r="Q28" s="155">
        <v>0</v>
      </c>
      <c r="R28" s="155">
        <v>5268</v>
      </c>
      <c r="S28" s="155">
        <v>0</v>
      </c>
      <c r="T28" s="155">
        <v>0</v>
      </c>
      <c r="U28" s="155">
        <v>3512</v>
      </c>
      <c r="V28" s="155">
        <v>0</v>
      </c>
      <c r="W28" s="155">
        <v>0</v>
      </c>
      <c r="X28" s="155">
        <v>5268</v>
      </c>
      <c r="Y28" s="155">
        <v>0</v>
      </c>
      <c r="Z28" s="155">
        <v>5268</v>
      </c>
      <c r="AA28" s="72">
        <f t="shared" si="0"/>
        <v>71996</v>
      </c>
    </row>
    <row r="29" spans="1:27" ht="14.25">
      <c r="A29" s="113" t="s">
        <v>899</v>
      </c>
      <c r="B29" s="155">
        <v>395919</v>
      </c>
      <c r="C29" s="155">
        <v>8798</v>
      </c>
      <c r="D29" s="155">
        <v>8798</v>
      </c>
      <c r="E29" s="155">
        <v>0</v>
      </c>
      <c r="F29" s="155">
        <v>8798</v>
      </c>
      <c r="G29" s="155">
        <v>0</v>
      </c>
      <c r="H29" s="155">
        <v>26395</v>
      </c>
      <c r="I29" s="155">
        <v>0</v>
      </c>
      <c r="J29" s="155">
        <v>17596</v>
      </c>
      <c r="K29" s="155">
        <v>26395</v>
      </c>
      <c r="L29" s="155">
        <v>26395</v>
      </c>
      <c r="M29" s="155">
        <v>0</v>
      </c>
      <c r="N29" s="155">
        <v>0</v>
      </c>
      <c r="O29" s="155">
        <v>0</v>
      </c>
      <c r="P29" s="155">
        <v>0</v>
      </c>
      <c r="Q29" s="155">
        <v>17596</v>
      </c>
      <c r="R29" s="155">
        <v>26395</v>
      </c>
      <c r="S29" s="155">
        <v>35193</v>
      </c>
      <c r="T29" s="155">
        <v>0</v>
      </c>
      <c r="U29" s="155">
        <v>0</v>
      </c>
      <c r="V29" s="155">
        <v>0</v>
      </c>
      <c r="W29" s="155">
        <v>0</v>
      </c>
      <c r="X29" s="155">
        <v>26395</v>
      </c>
      <c r="Y29" s="155">
        <v>0</v>
      </c>
      <c r="Z29" s="155">
        <v>0</v>
      </c>
      <c r="AA29" s="72">
        <f t="shared" si="0"/>
        <v>624673</v>
      </c>
    </row>
    <row r="30" spans="1:27" ht="14.25">
      <c r="A30" s="113" t="s">
        <v>901</v>
      </c>
      <c r="B30" s="155">
        <v>11988</v>
      </c>
      <c r="C30" s="155">
        <v>2398</v>
      </c>
      <c r="D30" s="155">
        <v>0</v>
      </c>
      <c r="E30" s="155">
        <v>0</v>
      </c>
      <c r="F30" s="155">
        <v>0</v>
      </c>
      <c r="G30" s="155">
        <v>0</v>
      </c>
      <c r="H30" s="155">
        <v>0</v>
      </c>
      <c r="I30" s="155">
        <v>0</v>
      </c>
      <c r="J30" s="155">
        <v>0</v>
      </c>
      <c r="K30" s="155">
        <v>7193</v>
      </c>
      <c r="L30" s="155">
        <v>0</v>
      </c>
      <c r="M30" s="155">
        <v>7193</v>
      </c>
      <c r="N30" s="155">
        <v>4795</v>
      </c>
      <c r="O30" s="155">
        <v>0</v>
      </c>
      <c r="P30" s="155">
        <v>0</v>
      </c>
      <c r="Q30" s="155">
        <v>0</v>
      </c>
      <c r="R30" s="155">
        <v>7193</v>
      </c>
      <c r="S30" s="155">
        <v>0</v>
      </c>
      <c r="T30" s="155">
        <v>0</v>
      </c>
      <c r="U30" s="155">
        <v>0</v>
      </c>
      <c r="V30" s="155">
        <v>0</v>
      </c>
      <c r="W30" s="155">
        <v>0</v>
      </c>
      <c r="X30" s="155">
        <v>0</v>
      </c>
      <c r="Y30" s="155">
        <v>0</v>
      </c>
      <c r="Z30" s="155">
        <v>0</v>
      </c>
      <c r="AA30" s="72">
        <f t="shared" si="0"/>
        <v>40760</v>
      </c>
    </row>
    <row r="31" spans="1:27" ht="14.25">
      <c r="A31" s="113" t="s">
        <v>902</v>
      </c>
      <c r="B31" s="155">
        <v>69996</v>
      </c>
      <c r="C31" s="155">
        <v>4200</v>
      </c>
      <c r="D31" s="155">
        <v>1400</v>
      </c>
      <c r="E31" s="155">
        <v>0</v>
      </c>
      <c r="F31" s="155">
        <v>0</v>
      </c>
      <c r="G31" s="155">
        <v>0</v>
      </c>
      <c r="H31" s="155">
        <v>4200</v>
      </c>
      <c r="I31" s="155">
        <v>0</v>
      </c>
      <c r="J31" s="155">
        <v>4200</v>
      </c>
      <c r="K31" s="155">
        <v>4200</v>
      </c>
      <c r="L31" s="155">
        <v>4200</v>
      </c>
      <c r="M31" s="155">
        <v>0</v>
      </c>
      <c r="N31" s="155">
        <v>0</v>
      </c>
      <c r="O31" s="155">
        <v>0</v>
      </c>
      <c r="P31" s="155">
        <v>0</v>
      </c>
      <c r="Q31" s="155">
        <v>0</v>
      </c>
      <c r="R31" s="155">
        <v>4200</v>
      </c>
      <c r="S31" s="155">
        <v>0</v>
      </c>
      <c r="T31" s="155">
        <v>0</v>
      </c>
      <c r="U31" s="155">
        <v>0</v>
      </c>
      <c r="V31" s="155">
        <v>0</v>
      </c>
      <c r="W31" s="155">
        <v>0</v>
      </c>
      <c r="X31" s="155">
        <v>2800</v>
      </c>
      <c r="Y31" s="155">
        <v>0</v>
      </c>
      <c r="Z31" s="155">
        <v>0</v>
      </c>
      <c r="AA31" s="72">
        <f t="shared" si="0"/>
        <v>99396</v>
      </c>
    </row>
    <row r="32" spans="1:27" ht="14.25">
      <c r="A32" s="113" t="s">
        <v>905</v>
      </c>
      <c r="B32" s="155">
        <v>19906</v>
      </c>
      <c r="C32" s="155">
        <v>0</v>
      </c>
      <c r="D32" s="155">
        <v>0</v>
      </c>
      <c r="E32" s="155">
        <v>0</v>
      </c>
      <c r="F32" s="155">
        <v>0</v>
      </c>
      <c r="G32" s="155">
        <v>0</v>
      </c>
      <c r="H32" s="155">
        <v>11944</v>
      </c>
      <c r="I32" s="155">
        <v>0</v>
      </c>
      <c r="J32" s="155">
        <v>11944</v>
      </c>
      <c r="K32" s="155">
        <v>11944</v>
      </c>
      <c r="L32" s="155">
        <v>0</v>
      </c>
      <c r="M32" s="155">
        <v>11944</v>
      </c>
      <c r="N32" s="155">
        <v>11944</v>
      </c>
      <c r="O32" s="155">
        <v>0</v>
      </c>
      <c r="P32" s="155">
        <v>0</v>
      </c>
      <c r="Q32" s="155">
        <v>0</v>
      </c>
      <c r="R32" s="155">
        <v>11944</v>
      </c>
      <c r="S32" s="155">
        <v>11944</v>
      </c>
      <c r="T32" s="155">
        <v>0</v>
      </c>
      <c r="U32" s="155">
        <v>0</v>
      </c>
      <c r="V32" s="155">
        <v>0</v>
      </c>
      <c r="W32" s="155">
        <v>0</v>
      </c>
      <c r="X32" s="155">
        <v>7962</v>
      </c>
      <c r="Y32" s="155">
        <v>0</v>
      </c>
      <c r="Z32" s="155">
        <v>0</v>
      </c>
      <c r="AA32" s="72">
        <f t="shared" si="0"/>
        <v>111476</v>
      </c>
    </row>
    <row r="33" spans="1:27" ht="14.25">
      <c r="A33" s="113" t="s">
        <v>906</v>
      </c>
      <c r="B33" s="155">
        <v>178645</v>
      </c>
      <c r="C33" s="155">
        <v>19849</v>
      </c>
      <c r="D33" s="155">
        <v>0</v>
      </c>
      <c r="E33" s="155">
        <v>0</v>
      </c>
      <c r="F33" s="155">
        <v>0</v>
      </c>
      <c r="G33" s="155">
        <v>0</v>
      </c>
      <c r="H33" s="155">
        <v>19849</v>
      </c>
      <c r="I33" s="155">
        <v>0</v>
      </c>
      <c r="J33" s="155">
        <v>19849</v>
      </c>
      <c r="K33" s="155">
        <v>19849</v>
      </c>
      <c r="L33" s="155">
        <v>19849</v>
      </c>
      <c r="M33" s="155">
        <v>0</v>
      </c>
      <c r="N33" s="155">
        <v>0</v>
      </c>
      <c r="O33" s="155">
        <v>0</v>
      </c>
      <c r="P33" s="155">
        <v>11910</v>
      </c>
      <c r="Q33" s="155">
        <v>0</v>
      </c>
      <c r="R33" s="155">
        <v>0</v>
      </c>
      <c r="S33" s="155">
        <v>0</v>
      </c>
      <c r="T33" s="155">
        <v>0</v>
      </c>
      <c r="U33" s="155">
        <v>0</v>
      </c>
      <c r="V33" s="155">
        <v>0</v>
      </c>
      <c r="W33" s="155">
        <v>0</v>
      </c>
      <c r="X33" s="155">
        <v>0</v>
      </c>
      <c r="Y33" s="155">
        <v>0</v>
      </c>
      <c r="Z33" s="155">
        <v>0</v>
      </c>
      <c r="AA33" s="72">
        <f t="shared" si="0"/>
        <v>289800</v>
      </c>
    </row>
    <row r="34" spans="1:27" ht="14.25">
      <c r="A34" s="113" t="s">
        <v>910</v>
      </c>
      <c r="B34" s="155">
        <v>258752</v>
      </c>
      <c r="C34" s="155">
        <v>15733</v>
      </c>
      <c r="D34" s="155">
        <v>29723</v>
      </c>
      <c r="E34" s="155">
        <v>0</v>
      </c>
      <c r="F34" s="155">
        <v>0</v>
      </c>
      <c r="G34" s="155">
        <v>0</v>
      </c>
      <c r="H34" s="155">
        <v>31467</v>
      </c>
      <c r="I34" s="155">
        <v>0</v>
      </c>
      <c r="J34" s="155">
        <v>24479</v>
      </c>
      <c r="K34" s="155">
        <v>29723</v>
      </c>
      <c r="L34" s="155">
        <v>29723</v>
      </c>
      <c r="M34" s="155">
        <v>57704</v>
      </c>
      <c r="N34" s="155">
        <v>29723</v>
      </c>
      <c r="O34" s="155">
        <v>13990</v>
      </c>
      <c r="P34" s="155">
        <v>29723</v>
      </c>
      <c r="Q34" s="155">
        <v>13990</v>
      </c>
      <c r="R34" s="155">
        <v>29723</v>
      </c>
      <c r="S34" s="155">
        <v>31467</v>
      </c>
      <c r="T34" s="155">
        <v>0</v>
      </c>
      <c r="U34" s="155">
        <v>136395</v>
      </c>
      <c r="V34" s="155">
        <v>0</v>
      </c>
      <c r="W34" s="155">
        <v>0</v>
      </c>
      <c r="X34" s="155">
        <v>10489</v>
      </c>
      <c r="Y34" s="155">
        <v>0</v>
      </c>
      <c r="Z34" s="155">
        <v>10489</v>
      </c>
      <c r="AA34" s="72">
        <f t="shared" si="0"/>
        <v>783293</v>
      </c>
    </row>
    <row r="35" spans="1:27" ht="14.25">
      <c r="A35" s="113" t="s">
        <v>908</v>
      </c>
      <c r="B35" s="155">
        <v>1390500</v>
      </c>
      <c r="C35" s="155">
        <v>182206</v>
      </c>
      <c r="D35" s="155">
        <v>15982</v>
      </c>
      <c r="E35" s="155">
        <v>0</v>
      </c>
      <c r="F35" s="155">
        <v>0</v>
      </c>
      <c r="G35" s="155">
        <v>0</v>
      </c>
      <c r="H35" s="155">
        <v>0</v>
      </c>
      <c r="I35" s="155">
        <v>83912</v>
      </c>
      <c r="J35" s="155">
        <v>0</v>
      </c>
      <c r="K35" s="155">
        <v>182206</v>
      </c>
      <c r="L35" s="155">
        <v>0</v>
      </c>
      <c r="M35" s="155">
        <v>131059</v>
      </c>
      <c r="N35" s="155">
        <v>0</v>
      </c>
      <c r="O35" s="155">
        <v>79912</v>
      </c>
      <c r="P35" s="155">
        <v>47947</v>
      </c>
      <c r="Q35" s="155">
        <v>47947</v>
      </c>
      <c r="R35" s="155">
        <v>115077</v>
      </c>
      <c r="S35" s="155">
        <v>99095</v>
      </c>
      <c r="T35" s="155">
        <v>0</v>
      </c>
      <c r="U35" s="155">
        <v>50347</v>
      </c>
      <c r="V35" s="155">
        <v>0</v>
      </c>
      <c r="W35" s="155">
        <v>0</v>
      </c>
      <c r="X35" s="155">
        <v>0</v>
      </c>
      <c r="Y35" s="155">
        <v>0</v>
      </c>
      <c r="Z35" s="155">
        <v>0</v>
      </c>
      <c r="AA35" s="72">
        <f t="shared" si="0"/>
        <v>2426190</v>
      </c>
    </row>
    <row r="36" spans="1:27" ht="14.25">
      <c r="A36" s="113" t="s">
        <v>909</v>
      </c>
      <c r="B36" s="155">
        <v>1366223</v>
      </c>
      <c r="C36" s="155">
        <v>165162</v>
      </c>
      <c r="D36" s="155">
        <v>71485</v>
      </c>
      <c r="E36" s="155">
        <v>0</v>
      </c>
      <c r="F36" s="155">
        <v>0</v>
      </c>
      <c r="G36" s="155">
        <v>0</v>
      </c>
      <c r="H36" s="155">
        <v>13176</v>
      </c>
      <c r="I36" s="155">
        <v>13176</v>
      </c>
      <c r="J36" s="155">
        <v>90875</v>
      </c>
      <c r="K36" s="155">
        <v>90875</v>
      </c>
      <c r="L36" s="155">
        <v>32566</v>
      </c>
      <c r="M36" s="155">
        <v>129793</v>
      </c>
      <c r="N36" s="155">
        <v>19390</v>
      </c>
      <c r="O36" s="155">
        <v>145772</v>
      </c>
      <c r="P36" s="155">
        <v>90875</v>
      </c>
      <c r="Q36" s="155">
        <v>71485</v>
      </c>
      <c r="R36" s="155">
        <v>90875</v>
      </c>
      <c r="S36" s="155">
        <v>168573</v>
      </c>
      <c r="T36" s="155">
        <v>0</v>
      </c>
      <c r="U36" s="155">
        <v>29154</v>
      </c>
      <c r="V36" s="155">
        <v>0</v>
      </c>
      <c r="W36" s="155">
        <v>0</v>
      </c>
      <c r="X36" s="155">
        <v>12927</v>
      </c>
      <c r="Y36" s="155">
        <v>0</v>
      </c>
      <c r="Z36" s="155">
        <v>42081</v>
      </c>
      <c r="AA36" s="72">
        <f t="shared" si="0"/>
        <v>2644463</v>
      </c>
    </row>
    <row r="37" spans="1:27" ht="14.25">
      <c r="A37" s="113" t="s">
        <v>917</v>
      </c>
      <c r="B37" s="155">
        <v>235168</v>
      </c>
      <c r="C37" s="155">
        <v>73034</v>
      </c>
      <c r="D37" s="155">
        <v>60198</v>
      </c>
      <c r="E37" s="155">
        <v>0</v>
      </c>
      <c r="F37" s="155">
        <v>55974</v>
      </c>
      <c r="G37" s="155">
        <v>7796</v>
      </c>
      <c r="H37" s="155">
        <v>44335</v>
      </c>
      <c r="I37" s="155">
        <v>5197</v>
      </c>
      <c r="J37" s="155">
        <v>69191</v>
      </c>
      <c r="K37" s="155">
        <v>33479</v>
      </c>
      <c r="L37" s="155">
        <v>69191</v>
      </c>
      <c r="M37" s="155">
        <v>5197</v>
      </c>
      <c r="N37" s="155">
        <v>49439</v>
      </c>
      <c r="O37" s="155">
        <v>23802</v>
      </c>
      <c r="P37" s="155">
        <v>0</v>
      </c>
      <c r="Q37" s="155">
        <v>32869</v>
      </c>
      <c r="R37" s="155">
        <v>38800</v>
      </c>
      <c r="S37" s="155">
        <v>26526</v>
      </c>
      <c r="T37" s="155">
        <v>27972</v>
      </c>
      <c r="U37" s="155">
        <v>38827</v>
      </c>
      <c r="V37" s="155">
        <v>0</v>
      </c>
      <c r="W37" s="155">
        <v>0</v>
      </c>
      <c r="X37" s="155">
        <v>0</v>
      </c>
      <c r="Y37" s="155">
        <v>0</v>
      </c>
      <c r="Z37" s="155">
        <v>14857</v>
      </c>
      <c r="AA37" s="72">
        <f t="shared" si="0"/>
        <v>911852</v>
      </c>
    </row>
    <row r="38" spans="1:27" ht="14.25">
      <c r="A38" s="113" t="s">
        <v>935</v>
      </c>
      <c r="B38" s="155">
        <v>0</v>
      </c>
      <c r="C38" s="155">
        <v>0</v>
      </c>
      <c r="D38" s="155">
        <v>0</v>
      </c>
      <c r="E38" s="155">
        <v>0</v>
      </c>
      <c r="F38" s="155">
        <v>0</v>
      </c>
      <c r="G38" s="155">
        <v>0</v>
      </c>
      <c r="H38" s="155">
        <v>0</v>
      </c>
      <c r="I38" s="155">
        <v>0</v>
      </c>
      <c r="J38" s="155">
        <v>0</v>
      </c>
      <c r="K38" s="155">
        <v>0</v>
      </c>
      <c r="L38" s="155">
        <v>0</v>
      </c>
      <c r="M38" s="155">
        <v>0</v>
      </c>
      <c r="N38" s="155">
        <v>0</v>
      </c>
      <c r="O38" s="155">
        <v>0</v>
      </c>
      <c r="P38" s="155">
        <v>0</v>
      </c>
      <c r="Q38" s="155">
        <v>0</v>
      </c>
      <c r="R38" s="155">
        <v>0</v>
      </c>
      <c r="S38" s="155">
        <v>0</v>
      </c>
      <c r="T38" s="155">
        <v>0</v>
      </c>
      <c r="U38" s="155">
        <v>0</v>
      </c>
      <c r="V38" s="155">
        <v>0</v>
      </c>
      <c r="W38" s="155">
        <v>0</v>
      </c>
      <c r="X38" s="155">
        <v>0</v>
      </c>
      <c r="Y38" s="155">
        <v>0</v>
      </c>
      <c r="Z38" s="155">
        <v>0</v>
      </c>
      <c r="AA38" s="72">
        <f t="shared" si="0"/>
        <v>0</v>
      </c>
    </row>
    <row r="39" spans="1:27" ht="14.25">
      <c r="A39" s="113" t="s">
        <v>931</v>
      </c>
      <c r="B39" s="155">
        <v>10410</v>
      </c>
      <c r="C39" s="155">
        <v>0</v>
      </c>
      <c r="D39" s="155">
        <v>0</v>
      </c>
      <c r="E39" s="155">
        <v>0</v>
      </c>
      <c r="F39" s="155">
        <v>2082</v>
      </c>
      <c r="G39" s="155">
        <v>0</v>
      </c>
      <c r="H39" s="155">
        <v>0</v>
      </c>
      <c r="I39" s="155">
        <v>0</v>
      </c>
      <c r="J39" s="155">
        <v>0</v>
      </c>
      <c r="K39" s="155">
        <v>0</v>
      </c>
      <c r="L39" s="155">
        <v>0</v>
      </c>
      <c r="M39" s="155">
        <v>0</v>
      </c>
      <c r="N39" s="155">
        <v>0</v>
      </c>
      <c r="O39" s="155">
        <v>0</v>
      </c>
      <c r="P39" s="155">
        <v>0</v>
      </c>
      <c r="Q39" s="155">
        <v>0</v>
      </c>
      <c r="R39" s="155">
        <v>0</v>
      </c>
      <c r="S39" s="155">
        <v>0</v>
      </c>
      <c r="T39" s="155">
        <v>0</v>
      </c>
      <c r="U39" s="155">
        <v>0</v>
      </c>
      <c r="V39" s="155">
        <v>0</v>
      </c>
      <c r="W39" s="155">
        <v>0</v>
      </c>
      <c r="X39" s="155">
        <v>0</v>
      </c>
      <c r="Y39" s="155">
        <v>0</v>
      </c>
      <c r="Z39" s="155">
        <v>0</v>
      </c>
      <c r="AA39" s="72">
        <f t="shared" si="0"/>
        <v>12492</v>
      </c>
    </row>
    <row r="40" spans="1:27" ht="14.25">
      <c r="A40" s="113" t="s">
        <v>926</v>
      </c>
      <c r="B40" s="155">
        <v>148140</v>
      </c>
      <c r="C40" s="155">
        <v>49380</v>
      </c>
      <c r="D40" s="155">
        <v>24690</v>
      </c>
      <c r="E40" s="155">
        <v>0</v>
      </c>
      <c r="F40" s="155">
        <v>0</v>
      </c>
      <c r="G40" s="155">
        <v>0</v>
      </c>
      <c r="H40" s="155">
        <v>49380</v>
      </c>
      <c r="I40" s="155">
        <v>0</v>
      </c>
      <c r="J40" s="155">
        <v>0</v>
      </c>
      <c r="K40" s="155">
        <v>0</v>
      </c>
      <c r="L40" s="155">
        <v>0</v>
      </c>
      <c r="M40" s="155">
        <v>0</v>
      </c>
      <c r="N40" s="155">
        <v>0</v>
      </c>
      <c r="O40" s="155">
        <v>0</v>
      </c>
      <c r="P40" s="155">
        <v>0</v>
      </c>
      <c r="Q40" s="155">
        <v>0</v>
      </c>
      <c r="R40" s="155">
        <v>0</v>
      </c>
      <c r="S40" s="155">
        <v>0</v>
      </c>
      <c r="T40" s="155">
        <v>0</v>
      </c>
      <c r="U40" s="155">
        <v>0</v>
      </c>
      <c r="V40" s="155">
        <v>0</v>
      </c>
      <c r="W40" s="155">
        <v>0</v>
      </c>
      <c r="X40" s="155">
        <v>0</v>
      </c>
      <c r="Y40" s="155">
        <v>0</v>
      </c>
      <c r="Z40" s="155">
        <v>49380</v>
      </c>
      <c r="AA40" s="72">
        <f t="shared" si="0"/>
        <v>320970</v>
      </c>
    </row>
    <row r="41" spans="1:27" ht="14.25">
      <c r="A41" s="113" t="s">
        <v>933</v>
      </c>
      <c r="B41" s="155">
        <v>0</v>
      </c>
      <c r="C41" s="155">
        <v>0</v>
      </c>
      <c r="D41" s="155">
        <v>0</v>
      </c>
      <c r="E41" s="155">
        <v>0</v>
      </c>
      <c r="F41" s="155">
        <v>0</v>
      </c>
      <c r="G41" s="155">
        <v>0</v>
      </c>
      <c r="H41" s="155">
        <v>0</v>
      </c>
      <c r="I41" s="155">
        <v>0</v>
      </c>
      <c r="J41" s="155">
        <v>0</v>
      </c>
      <c r="K41" s="155">
        <v>0</v>
      </c>
      <c r="L41" s="155">
        <v>0</v>
      </c>
      <c r="M41" s="155">
        <v>0</v>
      </c>
      <c r="N41" s="155">
        <v>0</v>
      </c>
      <c r="O41" s="155">
        <v>0</v>
      </c>
      <c r="P41" s="155">
        <v>0</v>
      </c>
      <c r="Q41" s="155">
        <v>0</v>
      </c>
      <c r="R41" s="155">
        <v>0</v>
      </c>
      <c r="S41" s="155">
        <v>0</v>
      </c>
      <c r="T41" s="155">
        <v>0</v>
      </c>
      <c r="U41" s="155">
        <v>0</v>
      </c>
      <c r="V41" s="155">
        <v>0</v>
      </c>
      <c r="W41" s="155">
        <v>0</v>
      </c>
      <c r="X41" s="155">
        <v>0</v>
      </c>
      <c r="Y41" s="155">
        <v>0</v>
      </c>
      <c r="Z41" s="155">
        <v>0</v>
      </c>
      <c r="AA41" s="72">
        <f t="shared" si="0"/>
        <v>0</v>
      </c>
    </row>
    <row r="42" spans="1:27" ht="14.25">
      <c r="A42" s="113" t="s">
        <v>934</v>
      </c>
      <c r="B42" s="155">
        <v>0</v>
      </c>
      <c r="C42" s="155">
        <v>0</v>
      </c>
      <c r="D42" s="155">
        <v>0</v>
      </c>
      <c r="E42" s="155">
        <v>0</v>
      </c>
      <c r="F42" s="155">
        <v>0</v>
      </c>
      <c r="G42" s="155">
        <v>0</v>
      </c>
      <c r="H42" s="155">
        <v>0</v>
      </c>
      <c r="I42" s="155">
        <v>0</v>
      </c>
      <c r="J42" s="155">
        <v>0</v>
      </c>
      <c r="K42" s="155">
        <v>0</v>
      </c>
      <c r="L42" s="155">
        <v>0</v>
      </c>
      <c r="M42" s="155">
        <v>0</v>
      </c>
      <c r="N42" s="155">
        <v>0</v>
      </c>
      <c r="O42" s="155">
        <v>0</v>
      </c>
      <c r="P42" s="155">
        <v>0</v>
      </c>
      <c r="Q42" s="155">
        <v>0</v>
      </c>
      <c r="R42" s="155">
        <v>0</v>
      </c>
      <c r="S42" s="155">
        <v>0</v>
      </c>
      <c r="T42" s="155">
        <v>0</v>
      </c>
      <c r="U42" s="155">
        <v>0</v>
      </c>
      <c r="V42" s="155">
        <v>0</v>
      </c>
      <c r="W42" s="155">
        <v>0</v>
      </c>
      <c r="X42" s="155">
        <v>0</v>
      </c>
      <c r="Y42" s="155">
        <v>0</v>
      </c>
      <c r="Z42" s="155">
        <v>0</v>
      </c>
      <c r="AA42" s="72">
        <f t="shared" si="0"/>
        <v>0</v>
      </c>
    </row>
    <row r="43" spans="1:27" ht="14.25">
      <c r="A43" s="113" t="s">
        <v>914</v>
      </c>
      <c r="B43" s="155">
        <v>37958</v>
      </c>
      <c r="C43" s="155">
        <v>0</v>
      </c>
      <c r="D43" s="155">
        <v>0</v>
      </c>
      <c r="E43" s="155">
        <v>0</v>
      </c>
      <c r="F43" s="155">
        <v>0</v>
      </c>
      <c r="G43" s="155">
        <v>0</v>
      </c>
      <c r="H43" s="155">
        <v>15183</v>
      </c>
      <c r="I43" s="155">
        <v>0</v>
      </c>
      <c r="J43" s="155">
        <v>0</v>
      </c>
      <c r="K43" s="155">
        <v>15183</v>
      </c>
      <c r="L43" s="155">
        <v>0</v>
      </c>
      <c r="M43" s="155">
        <v>0</v>
      </c>
      <c r="N43" s="155">
        <v>0</v>
      </c>
      <c r="O43" s="155">
        <v>0</v>
      </c>
      <c r="P43" s="155">
        <v>9743</v>
      </c>
      <c r="Q43" s="155">
        <v>0</v>
      </c>
      <c r="R43" s="155">
        <v>0</v>
      </c>
      <c r="S43" s="155">
        <v>0</v>
      </c>
      <c r="T43" s="155">
        <v>0</v>
      </c>
      <c r="U43" s="155">
        <v>0</v>
      </c>
      <c r="V43" s="155">
        <v>0</v>
      </c>
      <c r="W43" s="155">
        <v>0</v>
      </c>
      <c r="X43" s="155">
        <v>0</v>
      </c>
      <c r="Y43" s="155">
        <v>0</v>
      </c>
      <c r="Z43" s="155">
        <v>3796</v>
      </c>
      <c r="AA43" s="72">
        <f t="shared" si="0"/>
        <v>81863</v>
      </c>
    </row>
    <row r="44" spans="1:27" ht="14.25">
      <c r="A44" s="113" t="s">
        <v>916</v>
      </c>
      <c r="B44" s="155">
        <v>0</v>
      </c>
      <c r="C44" s="155">
        <v>0</v>
      </c>
      <c r="D44" s="155">
        <v>0</v>
      </c>
      <c r="E44" s="155">
        <v>0</v>
      </c>
      <c r="F44" s="155">
        <v>0</v>
      </c>
      <c r="G44" s="155">
        <v>0</v>
      </c>
      <c r="H44" s="155">
        <v>0</v>
      </c>
      <c r="I44" s="155">
        <v>0</v>
      </c>
      <c r="J44" s="155">
        <v>0</v>
      </c>
      <c r="K44" s="155">
        <v>0</v>
      </c>
      <c r="L44" s="155">
        <v>0</v>
      </c>
      <c r="M44" s="155">
        <v>0</v>
      </c>
      <c r="N44" s="155">
        <v>0</v>
      </c>
      <c r="O44" s="155">
        <v>0</v>
      </c>
      <c r="P44" s="155">
        <v>0</v>
      </c>
      <c r="Q44" s="155">
        <v>0</v>
      </c>
      <c r="R44" s="155">
        <v>0</v>
      </c>
      <c r="S44" s="155">
        <v>5535</v>
      </c>
      <c r="T44" s="155">
        <v>0</v>
      </c>
      <c r="U44" s="155">
        <v>0</v>
      </c>
      <c r="V44" s="155">
        <v>0</v>
      </c>
      <c r="W44" s="155">
        <v>0</v>
      </c>
      <c r="X44" s="155">
        <v>0</v>
      </c>
      <c r="Y44" s="155">
        <v>0</v>
      </c>
      <c r="Z44" s="155">
        <v>0</v>
      </c>
      <c r="AA44" s="72">
        <f t="shared" si="0"/>
        <v>5535</v>
      </c>
    </row>
    <row r="45" spans="1:27" ht="14.25">
      <c r="A45" s="113" t="s">
        <v>913</v>
      </c>
      <c r="B45" s="155">
        <v>35327</v>
      </c>
      <c r="C45" s="155">
        <v>2587</v>
      </c>
      <c r="D45" s="155">
        <v>603</v>
      </c>
      <c r="E45" s="155">
        <v>0</v>
      </c>
      <c r="F45" s="155">
        <v>447</v>
      </c>
      <c r="G45" s="155">
        <v>0</v>
      </c>
      <c r="H45" s="155">
        <v>4821</v>
      </c>
      <c r="I45" s="155">
        <v>0</v>
      </c>
      <c r="J45" s="155">
        <v>5161</v>
      </c>
      <c r="K45" s="155">
        <v>0</v>
      </c>
      <c r="L45" s="155">
        <v>2914</v>
      </c>
      <c r="M45" s="155">
        <v>3345</v>
      </c>
      <c r="N45" s="155">
        <v>4737</v>
      </c>
      <c r="O45" s="155">
        <v>0</v>
      </c>
      <c r="P45" s="155">
        <v>4314</v>
      </c>
      <c r="Q45" s="155">
        <v>0</v>
      </c>
      <c r="R45" s="155">
        <v>0</v>
      </c>
      <c r="S45" s="155">
        <v>2605</v>
      </c>
      <c r="T45" s="155">
        <v>0</v>
      </c>
      <c r="U45" s="155">
        <v>0</v>
      </c>
      <c r="V45" s="155">
        <v>0</v>
      </c>
      <c r="W45" s="155">
        <v>0</v>
      </c>
      <c r="X45" s="155">
        <v>0</v>
      </c>
      <c r="Y45" s="155">
        <v>0</v>
      </c>
      <c r="Z45" s="155">
        <v>1645</v>
      </c>
      <c r="AA45" s="72">
        <f t="shared" si="0"/>
        <v>68506</v>
      </c>
    </row>
    <row r="46" spans="1:27" ht="14.25">
      <c r="A46" s="113" t="s">
        <v>915</v>
      </c>
      <c r="B46" s="155">
        <v>0</v>
      </c>
      <c r="C46" s="155">
        <v>0</v>
      </c>
      <c r="D46" s="155">
        <v>0</v>
      </c>
      <c r="E46" s="155">
        <v>0</v>
      </c>
      <c r="F46" s="155">
        <v>0</v>
      </c>
      <c r="G46" s="155">
        <v>0</v>
      </c>
      <c r="H46" s="155">
        <v>0</v>
      </c>
      <c r="I46" s="155">
        <v>0</v>
      </c>
      <c r="J46" s="155">
        <v>0</v>
      </c>
      <c r="K46" s="155">
        <v>0</v>
      </c>
      <c r="L46" s="155">
        <v>0</v>
      </c>
      <c r="M46" s="155">
        <v>5810</v>
      </c>
      <c r="N46" s="155">
        <v>0</v>
      </c>
      <c r="O46" s="155">
        <v>2905</v>
      </c>
      <c r="P46" s="155">
        <v>0</v>
      </c>
      <c r="Q46" s="155">
        <v>0</v>
      </c>
      <c r="R46" s="155">
        <v>0</v>
      </c>
      <c r="S46" s="155">
        <v>15494</v>
      </c>
      <c r="T46" s="155">
        <v>0</v>
      </c>
      <c r="U46" s="155">
        <v>0</v>
      </c>
      <c r="V46" s="155">
        <v>0</v>
      </c>
      <c r="W46" s="155">
        <v>0</v>
      </c>
      <c r="X46" s="155">
        <v>0</v>
      </c>
      <c r="Y46" s="155">
        <v>0</v>
      </c>
      <c r="Z46" s="155">
        <v>0</v>
      </c>
      <c r="AA46" s="72">
        <f t="shared" si="0"/>
        <v>24209</v>
      </c>
    </row>
    <row r="47" spans="1:27" ht="14.25">
      <c r="A47" s="113" t="s">
        <v>932</v>
      </c>
      <c r="B47" s="155">
        <v>1071582</v>
      </c>
      <c r="C47" s="155">
        <v>294344</v>
      </c>
      <c r="D47" s="155">
        <v>232197</v>
      </c>
      <c r="E47" s="155">
        <v>77780</v>
      </c>
      <c r="F47" s="155">
        <v>233794</v>
      </c>
      <c r="G47" s="155">
        <v>116621</v>
      </c>
      <c r="H47" s="155">
        <v>116621</v>
      </c>
      <c r="I47" s="155">
        <v>116621</v>
      </c>
      <c r="J47" s="155">
        <v>116621</v>
      </c>
      <c r="K47" s="155">
        <v>188026</v>
      </c>
      <c r="L47" s="155">
        <v>116621</v>
      </c>
      <c r="M47" s="155">
        <v>68191</v>
      </c>
      <c r="N47" s="155">
        <v>70587</v>
      </c>
      <c r="O47" s="155">
        <v>69752</v>
      </c>
      <c r="P47" s="155">
        <v>49924</v>
      </c>
      <c r="Q47" s="155">
        <v>69752</v>
      </c>
      <c r="R47" s="155">
        <v>70587</v>
      </c>
      <c r="S47" s="155">
        <v>96382</v>
      </c>
      <c r="T47" s="155">
        <v>47153</v>
      </c>
      <c r="U47" s="155">
        <v>76129</v>
      </c>
      <c r="V47" s="155">
        <v>50349</v>
      </c>
      <c r="W47" s="155">
        <v>70587</v>
      </c>
      <c r="X47" s="155">
        <v>70587</v>
      </c>
      <c r="Y47" s="155">
        <v>50349</v>
      </c>
      <c r="Z47" s="155">
        <v>93186</v>
      </c>
      <c r="AA47" s="72">
        <f t="shared" si="0"/>
        <v>3634343</v>
      </c>
    </row>
    <row r="48" spans="1:27" ht="14.25">
      <c r="A48" s="113" t="s">
        <v>936</v>
      </c>
      <c r="B48" s="155">
        <v>1853519</v>
      </c>
      <c r="C48" s="155">
        <v>404157</v>
      </c>
      <c r="D48" s="155">
        <v>221781</v>
      </c>
      <c r="E48" s="155">
        <v>125607</v>
      </c>
      <c r="F48" s="155">
        <v>209733</v>
      </c>
      <c r="G48" s="155">
        <v>186437</v>
      </c>
      <c r="H48" s="155">
        <v>186437</v>
      </c>
      <c r="I48" s="155">
        <v>288137</v>
      </c>
      <c r="J48" s="155">
        <v>186437</v>
      </c>
      <c r="K48" s="155">
        <v>288137</v>
      </c>
      <c r="L48" s="155">
        <v>174895</v>
      </c>
      <c r="M48" s="155">
        <v>218021</v>
      </c>
      <c r="N48" s="155">
        <v>116320</v>
      </c>
      <c r="O48" s="155">
        <v>116320</v>
      </c>
      <c r="P48" s="155">
        <v>116320</v>
      </c>
      <c r="Q48" s="155">
        <v>152370</v>
      </c>
      <c r="R48" s="155">
        <v>152370</v>
      </c>
      <c r="S48" s="155">
        <v>278923</v>
      </c>
      <c r="T48" s="155">
        <v>174233</v>
      </c>
      <c r="U48" s="155">
        <v>122987</v>
      </c>
      <c r="V48" s="155">
        <v>114625</v>
      </c>
      <c r="W48" s="155">
        <v>114625</v>
      </c>
      <c r="X48" s="155">
        <v>116320</v>
      </c>
      <c r="Y48" s="155">
        <v>116320</v>
      </c>
      <c r="Z48" s="155">
        <v>108582</v>
      </c>
      <c r="AA48" s="72">
        <f t="shared" si="0"/>
        <v>6143613</v>
      </c>
    </row>
    <row r="49" spans="1:27" ht="14.25">
      <c r="A49" s="113" t="s">
        <v>699</v>
      </c>
      <c r="B49" s="155">
        <v>20397635</v>
      </c>
      <c r="C49" s="155">
        <v>3048282</v>
      </c>
      <c r="D49" s="155">
        <v>2104800</v>
      </c>
      <c r="E49" s="155">
        <v>415959</v>
      </c>
      <c r="F49" s="155">
        <v>1340697</v>
      </c>
      <c r="G49" s="155">
        <v>782703</v>
      </c>
      <c r="H49" s="155">
        <v>2694678</v>
      </c>
      <c r="I49" s="155">
        <v>797092</v>
      </c>
      <c r="J49" s="155">
        <v>2772527</v>
      </c>
      <c r="K49" s="155">
        <v>2513636</v>
      </c>
      <c r="L49" s="155">
        <v>2503016</v>
      </c>
      <c r="M49" s="155">
        <v>1459447</v>
      </c>
      <c r="N49" s="155">
        <v>1191626</v>
      </c>
      <c r="O49" s="155">
        <v>1150996</v>
      </c>
      <c r="P49" s="155">
        <v>1297517</v>
      </c>
      <c r="Q49" s="155">
        <v>1355841</v>
      </c>
      <c r="R49" s="155">
        <v>1498496</v>
      </c>
      <c r="S49" s="155">
        <v>1886181</v>
      </c>
      <c r="T49" s="155">
        <v>742836</v>
      </c>
      <c r="U49" s="155">
        <v>1879830</v>
      </c>
      <c r="V49" s="155">
        <v>537467</v>
      </c>
      <c r="W49" s="155">
        <v>542609</v>
      </c>
      <c r="X49" s="155">
        <v>967794</v>
      </c>
      <c r="Y49" s="155">
        <v>1138904</v>
      </c>
      <c r="Z49" s="155">
        <v>1304707</v>
      </c>
      <c r="AA49" s="72">
        <f>SUM(B49:Z49)</f>
        <v>56325276</v>
      </c>
    </row>
    <row r="50" spans="1:27" ht="14.25">
      <c r="A50"/>
      <c r="B50" s="71">
        <f>+GETPIVOTDATA("Suma de SEDE 1 - MANZANA LIEVANO - ALCALDÍA MAYOR",$A$6)</f>
        <v>20397635</v>
      </c>
      <c r="C50" s="71">
        <f>+GETPIVOTDATA("Suma de SEDE 2- DIRECCIÓN DISTRITAL DE ARCHIVO DE  BOGOTA ",$A$6)</f>
        <v>3048282</v>
      </c>
      <c r="D50" s="71">
        <f>+GETPIVOTDATA("Suma de SEDE 3 - IMPRENTA DISTRITAL",$A$6)</f>
        <v>2104800</v>
      </c>
      <c r="E50" s="71">
        <f>+GETPIVOTDATA("Suma de SEDE 4 - SEDE ALTERNA RESTREPO ",$A$6)</f>
        <v>415959</v>
      </c>
      <c r="F50" s="71">
        <f>+GETPIVOTDATA("Suma de SEDE 5 - SUPERCADE CAD CARRERA ",$A$6)</f>
        <v>1340697</v>
      </c>
      <c r="G50" s="71">
        <f>+GETPIVOTDATA("Suma de SEDE 6 - SUPERCADE AMERICAS ",$A$6)</f>
        <v>782703</v>
      </c>
      <c r="H50" s="71">
        <f>+GETPIVOTDATA("Suma de SEDE 7 - SUPERCADE BOSA ",$A$6)</f>
        <v>2694678</v>
      </c>
      <c r="I50" s="71">
        <f>+GETPIVOTDATA("Suma de SEDE 8 - SUPERCADE CALLE 13 ",$A$6)</f>
        <v>797092</v>
      </c>
      <c r="J50" s="71">
        <f>+GETPIVOTDATA("Suma de SEDE 9 - SUPERCADE 20 DE JULIO ",$A$6)</f>
        <v>2772527</v>
      </c>
      <c r="K50" s="71">
        <f>+GETPIVOTDATA("Suma de SEDE 10 - SUPERCADE MANITAS ",$A$6)</f>
        <v>2513636</v>
      </c>
      <c r="L50" s="71">
        <f>+GETPIVOTDATA("Suma de SEDE 11 - SUPERCADE SUBA ",$A$6)</f>
        <v>2503016</v>
      </c>
      <c r="M50" s="71">
        <f>+GETPIVOTDATA("Suma de SEDE 12 - SUPERCADE SOCIAL",$A$6)</f>
        <v>1459447</v>
      </c>
      <c r="N50" s="71">
        <f>+GETPIVOTDATA("Suma de SEDE 13 - CADE SERVITA ",$A$6)</f>
        <v>1191626</v>
      </c>
      <c r="O50" s="71">
        <f>+GETPIVOTDATA("Suma de SEDE 14 - CADE LA VICTORIA ",$A$6)</f>
        <v>1150996</v>
      </c>
      <c r="P50" s="71">
        <f>+GETPIVOTDATA("Suma de SEDE 15 - CADE LA GAITANA ",$A$6)</f>
        <v>1297517</v>
      </c>
      <c r="Q50" s="71">
        <f>+GETPIVOTDATA("Suma de SEDE 16 - SUPERCADE ENGATIVA ",$A$6)</f>
        <v>1355841</v>
      </c>
      <c r="R50" s="71">
        <f>+GETPIVOTDATA("Suma de SEDE 17 - CADE LOS LUCEROS ",$A$6)</f>
        <v>1498496</v>
      </c>
      <c r="S50" s="71">
        <f>+GETPIVOTDATA("Suma de SEDE 18 - CENTRO DE MEMORIA, PAZ Y RECONCILIACIÓN ",$A$6)</f>
        <v>1886181</v>
      </c>
      <c r="T50" s="71">
        <f>+GETPIVOTDATA("Suma de SEDE 19 - CENTRO DE ENCUENTRO BOSA ",$A$6)</f>
        <v>742836</v>
      </c>
      <c r="U50" s="71">
        <f>+GETPIVOTDATA("Suma de SEDE 20 - CENTRO DE ENCUENTRO CHAPINERO ",$A$6)</f>
        <v>1879830</v>
      </c>
      <c r="V50" s="71">
        <f>+GETPIVOTDATA("Suma de SEDE 21 - CENTRO DE ENCUENTRO CIUDAD BOLIVAR ",$A$6)</f>
        <v>537467</v>
      </c>
      <c r="W50" s="71">
        <f>+GETPIVOTDATA("Suma de SEDE 22 - CENTRO DE ENCUENTRO KENNEDY PATIO BONITO ",$A$6)</f>
        <v>542609</v>
      </c>
      <c r="X50" s="71">
        <f>+GETPIVOTDATA("Suma de SEDE 23 - CENTRO DE ENCUENTRO RAFAEL URIBE ",$A$6)</f>
        <v>967794</v>
      </c>
      <c r="Y50" s="71">
        <f>+GETPIVOTDATA("Suma de SEDE 24 - CENTRO DE ENCUENTRO SUBA ",$A$6)</f>
        <v>1138904</v>
      </c>
      <c r="Z50" s="71">
        <f>+GETPIVOTDATA("Suma de SEDE 25 - SEDE ALTERNA TEQUENDAMA",$A$6)</f>
        <v>1304707</v>
      </c>
    </row>
    <row r="51" spans="1:27" ht="14.25">
      <c r="A51" s="78">
        <f>SUM(B51:Z51)</f>
        <v>574315384</v>
      </c>
      <c r="B51" s="71">
        <f>+B50+B3</f>
        <v>154737303</v>
      </c>
      <c r="C51" s="71">
        <f t="shared" ref="C51:Z51" si="1">+C50+C3</f>
        <v>47128487</v>
      </c>
      <c r="D51" s="71">
        <f t="shared" si="1"/>
        <v>16416555</v>
      </c>
      <c r="E51" s="71">
        <f t="shared" si="1"/>
        <v>5472779</v>
      </c>
      <c r="F51" s="71">
        <f t="shared" si="1"/>
        <v>33017380</v>
      </c>
      <c r="G51" s="71">
        <f t="shared" si="1"/>
        <v>29215389</v>
      </c>
      <c r="H51" s="71">
        <f t="shared" si="1"/>
        <v>25593486</v>
      </c>
      <c r="I51" s="71">
        <f t="shared" si="1"/>
        <v>17780374</v>
      </c>
      <c r="J51" s="71">
        <f t="shared" si="1"/>
        <v>25671335</v>
      </c>
      <c r="K51" s="71">
        <f t="shared" si="1"/>
        <v>33617849</v>
      </c>
      <c r="L51" s="71">
        <f t="shared" si="1"/>
        <v>33988877</v>
      </c>
      <c r="M51" s="71">
        <f t="shared" si="1"/>
        <v>7184149</v>
      </c>
      <c r="N51" s="71">
        <f t="shared" si="1"/>
        <v>6725504</v>
      </c>
      <c r="O51" s="71">
        <f t="shared" si="1"/>
        <v>9738049</v>
      </c>
      <c r="P51" s="71">
        <f t="shared" si="1"/>
        <v>9884570</v>
      </c>
      <c r="Q51" s="71">
        <f t="shared" si="1"/>
        <v>17575830</v>
      </c>
      <c r="R51" s="71">
        <f t="shared" si="1"/>
        <v>4360847</v>
      </c>
      <c r="S51" s="71">
        <f t="shared" si="1"/>
        <v>24498753</v>
      </c>
      <c r="T51" s="71">
        <f t="shared" si="1"/>
        <v>15913296</v>
      </c>
      <c r="U51" s="71">
        <f t="shared" si="1"/>
        <v>13329234</v>
      </c>
      <c r="V51" s="71">
        <f t="shared" si="1"/>
        <v>8838285</v>
      </c>
      <c r="W51" s="71">
        <f t="shared" si="1"/>
        <v>9129662</v>
      </c>
      <c r="X51" s="71">
        <f t="shared" si="1"/>
        <v>11272258</v>
      </c>
      <c r="Y51" s="71">
        <f t="shared" si="1"/>
        <v>6863606</v>
      </c>
      <c r="Z51" s="71">
        <f t="shared" si="1"/>
        <v>6361527</v>
      </c>
      <c r="AA51" s="72">
        <f>SUM(B51:Z51)</f>
        <v>574315384</v>
      </c>
    </row>
    <row r="52" spans="1:27" ht="14.25">
      <c r="A52"/>
    </row>
    <row r="53" spans="1:27" ht="14.25">
      <c r="A53"/>
    </row>
    <row r="54" spans="1:27" ht="14.25">
      <c r="A54"/>
    </row>
    <row r="55" spans="1:27" ht="14.25">
      <c r="A55"/>
    </row>
    <row r="56" spans="1:27" ht="14.25">
      <c r="A56"/>
    </row>
    <row r="57" spans="1:27" ht="14.25">
      <c r="A57"/>
    </row>
    <row r="58" spans="1:27" ht="14.25">
      <c r="A58"/>
    </row>
    <row r="59" spans="1:27" ht="14.25">
      <c r="A59"/>
    </row>
    <row r="60" spans="1:27" ht="14.25">
      <c r="A60"/>
    </row>
    <row r="61" spans="1:27" ht="14.25">
      <c r="A61"/>
    </row>
    <row r="62" spans="1:27" ht="14.25">
      <c r="A62"/>
    </row>
    <row r="63" spans="1:27" ht="14.25">
      <c r="A63"/>
    </row>
    <row r="64" spans="1:27" ht="14.25">
      <c r="A64"/>
    </row>
    <row r="65" spans="1:1" ht="14.25">
      <c r="A65"/>
    </row>
    <row r="66" spans="1:1" ht="14.25">
      <c r="A66"/>
    </row>
    <row r="67" spans="1:1" ht="14.25">
      <c r="A67"/>
    </row>
    <row r="68" spans="1:1" ht="14.25">
      <c r="A68"/>
    </row>
    <row r="69" spans="1:1" ht="14.25">
      <c r="A69"/>
    </row>
    <row r="70" spans="1:1" ht="14.25">
      <c r="A70"/>
    </row>
    <row r="71" spans="1:1" ht="14.25">
      <c r="A71"/>
    </row>
    <row r="72" spans="1:1" ht="14.25">
      <c r="A72"/>
    </row>
    <row r="73" spans="1:1" ht="14.25">
      <c r="A73"/>
    </row>
    <row r="74" spans="1:1" ht="14.25">
      <c r="A74"/>
    </row>
    <row r="75" spans="1:1" ht="14.25">
      <c r="A75"/>
    </row>
    <row r="76" spans="1:1" ht="14.25">
      <c r="A76"/>
    </row>
    <row r="77" spans="1:1" ht="14.25">
      <c r="A77"/>
    </row>
    <row r="78" spans="1:1" ht="14.25">
      <c r="A78"/>
    </row>
    <row r="79" spans="1:1" ht="14.25">
      <c r="A79"/>
    </row>
    <row r="80" spans="1:1" ht="14.25">
      <c r="A80"/>
    </row>
    <row r="81" spans="1:1" ht="14.25">
      <c r="A81"/>
    </row>
    <row r="82" spans="1:1" ht="14.25">
      <c r="A82"/>
    </row>
    <row r="83" spans="1:1" ht="14.25">
      <c r="A83"/>
    </row>
    <row r="84" spans="1:1" ht="14.25">
      <c r="A84"/>
    </row>
    <row r="85" spans="1:1" ht="14.25">
      <c r="A85"/>
    </row>
    <row r="86" spans="1:1" ht="14.25">
      <c r="A86"/>
    </row>
    <row r="87" spans="1:1" ht="14.25">
      <c r="A87"/>
    </row>
    <row r="88" spans="1:1" ht="14.25">
      <c r="A88"/>
    </row>
    <row r="89" spans="1:1" ht="14.25">
      <c r="A89"/>
    </row>
    <row r="90" spans="1:1" ht="14.25">
      <c r="A90"/>
    </row>
    <row r="91" spans="1:1" ht="14.25">
      <c r="A91"/>
    </row>
    <row r="92" spans="1:1" ht="14.25">
      <c r="A92"/>
    </row>
    <row r="93" spans="1:1" ht="14.25">
      <c r="A93"/>
    </row>
    <row r="94" spans="1:1" ht="14.25">
      <c r="A94"/>
    </row>
    <row r="95" spans="1:1" ht="14.25">
      <c r="A95"/>
    </row>
    <row r="96" spans="1:1" ht="14.25">
      <c r="A96"/>
    </row>
    <row r="97" spans="1:1" ht="14.25">
      <c r="A97"/>
    </row>
    <row r="98" spans="1:1" ht="14.25">
      <c r="A98"/>
    </row>
    <row r="99" spans="1:1" ht="14.25">
      <c r="A99"/>
    </row>
    <row r="100" spans="1:1" ht="14.25">
      <c r="A100"/>
    </row>
    <row r="101" spans="1:1" ht="14.25">
      <c r="A101"/>
    </row>
    <row r="102" spans="1:1" ht="14.25">
      <c r="A102"/>
    </row>
    <row r="103" spans="1:1" ht="14.25">
      <c r="A103"/>
    </row>
    <row r="104" spans="1:1" ht="14.25">
      <c r="A104"/>
    </row>
    <row r="105" spans="1:1" ht="14.25">
      <c r="A105"/>
    </row>
    <row r="106" spans="1:1" ht="14.25">
      <c r="A106"/>
    </row>
    <row r="107" spans="1:1" ht="14.25">
      <c r="A107"/>
    </row>
    <row r="108" spans="1:1" ht="14.25">
      <c r="A108"/>
    </row>
    <row r="109" spans="1:1" ht="14.25">
      <c r="A109"/>
    </row>
    <row r="110" spans="1:1" ht="14.25">
      <c r="A110"/>
    </row>
    <row r="111" spans="1:1" ht="14.25">
      <c r="A111"/>
    </row>
    <row r="112" spans="1:1" ht="14.25">
      <c r="A112"/>
    </row>
    <row r="113" spans="1:1" ht="14.25">
      <c r="A113"/>
    </row>
    <row r="114" spans="1:1" ht="14.25">
      <c r="A114"/>
    </row>
    <row r="115" spans="1:1" ht="14.25">
      <c r="A115"/>
    </row>
    <row r="116" spans="1:1" ht="14.25">
      <c r="A116"/>
    </row>
    <row r="117" spans="1:1" ht="14.25">
      <c r="A117"/>
    </row>
    <row r="118" spans="1:1" ht="14.25">
      <c r="A118"/>
    </row>
    <row r="119" spans="1:1" ht="14.25">
      <c r="A119"/>
    </row>
    <row r="120" spans="1:1" ht="14.25">
      <c r="A120"/>
    </row>
    <row r="121" spans="1:1" ht="14.25">
      <c r="A121"/>
    </row>
    <row r="122" spans="1:1" ht="14.25">
      <c r="A122"/>
    </row>
    <row r="123" spans="1:1" ht="14.25">
      <c r="A123"/>
    </row>
    <row r="124" spans="1:1" ht="14.25">
      <c r="A124"/>
    </row>
    <row r="125" spans="1:1" ht="14.25">
      <c r="A125"/>
    </row>
    <row r="126" spans="1:1" ht="14.25">
      <c r="A126"/>
    </row>
    <row r="127" spans="1:1" ht="14.25">
      <c r="A127"/>
    </row>
    <row r="128" spans="1:1" ht="14.25">
      <c r="A128"/>
    </row>
    <row r="129" spans="1:1" ht="14.25">
      <c r="A129"/>
    </row>
    <row r="130" spans="1:1" ht="14.25">
      <c r="A130"/>
    </row>
    <row r="131" spans="1:1" ht="14.25">
      <c r="A131"/>
    </row>
    <row r="132" spans="1:1" ht="14.25">
      <c r="A132"/>
    </row>
    <row r="133" spans="1:1" ht="14.25">
      <c r="A133"/>
    </row>
  </sheetData>
  <sortState ref="A7:A48">
    <sortCondition ref="A7:A48"/>
  </sortState>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e5336ff3-aa5d-469a-9ce7-f2d9e197e9e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5E13255BBDAFA4A8B496E899E524830" ma:contentTypeVersion="18" ma:contentTypeDescription="Crear nuevo documento." ma:contentTypeScope="" ma:versionID="8be9b9685a5eafcdd8699d53862b340e">
  <xsd:schema xmlns:xsd="http://www.w3.org/2001/XMLSchema" xmlns:xs="http://www.w3.org/2001/XMLSchema" xmlns:p="http://schemas.microsoft.com/office/2006/metadata/properties" xmlns:ns3="e5336ff3-aa5d-469a-9ce7-f2d9e197e9e7" xmlns:ns4="ab0bac37-3013-4525-8120-cfae50e61977" targetNamespace="http://schemas.microsoft.com/office/2006/metadata/properties" ma:root="true" ma:fieldsID="c87fb2683de500e53ff73d8ac73d00c4" ns3:_="" ns4:_="">
    <xsd:import namespace="e5336ff3-aa5d-469a-9ce7-f2d9e197e9e7"/>
    <xsd:import namespace="ab0bac37-3013-4525-8120-cfae50e6197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LengthInSeconds" minOccurs="0"/>
                <xsd:element ref="ns3:MediaServiceOCR" minOccurs="0"/>
                <xsd:element ref="ns3:MediaServiceAutoKeyPoints" minOccurs="0"/>
                <xsd:element ref="ns3:MediaServiceKeyPoints" minOccurs="0"/>
                <xsd:element ref="ns3:MediaServiceLocation"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336ff3-aa5d-469a-9ce7-f2d9e197e9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b0bac37-3013-4525-8120-cfae50e61977" elementFormDefault="qualified">
    <xsd:import namespace="http://schemas.microsoft.com/office/2006/documentManagement/types"/>
    <xsd:import namespace="http://schemas.microsoft.com/office/infopath/2007/PartnerControls"/>
    <xsd:element name="SharedWithUsers" ma:index="1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les de uso compartido" ma:internalName="SharedWithDetails" ma:readOnly="true">
      <xsd:simpleType>
        <xsd:restriction base="dms:Note">
          <xsd:maxLength value="255"/>
        </xsd:restriction>
      </xsd:simpleType>
    </xsd:element>
    <xsd:element name="SharingHintHash" ma:index="15"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0C5CCDC-A711-4759-941B-6AF959179F8B}">
  <ds:schemaRefs>
    <ds:schemaRef ds:uri="http://schemas.microsoft.com/sharepoint/v3/contenttype/forms"/>
  </ds:schemaRefs>
</ds:datastoreItem>
</file>

<file path=customXml/itemProps2.xml><?xml version="1.0" encoding="utf-8"?>
<ds:datastoreItem xmlns:ds="http://schemas.openxmlformats.org/officeDocument/2006/customXml" ds:itemID="{89B7EF26-CC25-4340-9686-14116DD8E644}">
  <ds:schemaRefs>
    <ds:schemaRef ds:uri="http://purl.org/dc/elements/1.1/"/>
    <ds:schemaRef ds:uri="ab0bac37-3013-4525-8120-cfae50e61977"/>
    <ds:schemaRef ds:uri="http://purl.org/dc/dcmitype/"/>
    <ds:schemaRef ds:uri="http://schemas.openxmlformats.org/package/2006/metadata/core-properties"/>
    <ds:schemaRef ds:uri="e5336ff3-aa5d-469a-9ce7-f2d9e197e9e7"/>
    <ds:schemaRef ds:uri="http://schemas.microsoft.com/office/2006/documentManagement/types"/>
    <ds:schemaRef ds:uri="http://www.w3.org/XML/1998/namespace"/>
    <ds:schemaRef ds:uri="http://schemas.microsoft.com/office/infopath/2007/PartnerControl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A5C1CBC6-E885-4456-960A-36D2FC6DD5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336ff3-aa5d-469a-9ce7-f2d9e197e9e7"/>
    <ds:schemaRef ds:uri="ab0bac37-3013-4525-8120-cfae50e619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CONTROL PERSONAL FULL</vt:lpstr>
      <vt:lpstr>PERSONAL</vt:lpstr>
      <vt:lpstr>cumplidos julio 2024</vt:lpstr>
      <vt:lpstr>para facturar</vt:lpstr>
      <vt:lpstr>supernumerarias</vt:lpstr>
      <vt:lpstr>INSUMOS Y MAQUINARIA</vt:lpstr>
      <vt:lpstr>Rubro para facturar</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Yenifer Prada Peña</dc:creator>
  <cp:lastModifiedBy>Danna Salomé Martínez Ramírez</cp:lastModifiedBy>
  <dcterms:created xsi:type="dcterms:W3CDTF">2024-05-23T02:23:20Z</dcterms:created>
  <dcterms:modified xsi:type="dcterms:W3CDTF">2024-08-29T16:25:47Z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0x01010005E13255BBDAFA4A8B496E899E524830</vt:lpwstr>
  </property>
</Properties>
</file>